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LabEEE\PROJETO_Eletrobras_LabEEE\Revisao_texto\HVAC\"/>
    </mc:Choice>
  </mc:AlternateContent>
  <bookViews>
    <workbookView xWindow="240" yWindow="135" windowWidth="20115" windowHeight="8010" activeTab="1" xr2:uid="{00000000-000D-0000-FFFF-FFFF00000000}"/>
  </bookViews>
  <sheets>
    <sheet name="Prim-Sec" sheetId="1" r:id="rId1"/>
    <sheet name="Prim-Variavel" sheetId="2" r:id="rId2"/>
  </sheets>
  <calcPr calcId="171027"/>
</workbook>
</file>

<file path=xl/calcChain.xml><?xml version="1.0" encoding="utf-8"?>
<calcChain xmlns="http://schemas.openxmlformats.org/spreadsheetml/2006/main">
  <c r="G82" i="2" l="1"/>
  <c r="D16" i="2" l="1"/>
  <c r="D15" i="2"/>
  <c r="M75" i="2"/>
  <c r="L75" i="2"/>
  <c r="G75" i="2"/>
  <c r="I75" i="2" s="1"/>
  <c r="F75" i="2"/>
  <c r="M74" i="2"/>
  <c r="L74" i="2"/>
  <c r="G74" i="2"/>
  <c r="I74" i="2" s="1"/>
  <c r="F74" i="2"/>
  <c r="M73" i="2"/>
  <c r="L73" i="2"/>
  <c r="G73" i="2"/>
  <c r="I73" i="2" s="1"/>
  <c r="F73" i="2"/>
  <c r="M72" i="2"/>
  <c r="L72" i="2"/>
  <c r="G72" i="2"/>
  <c r="I72" i="2" s="1"/>
  <c r="F72" i="2"/>
  <c r="M71" i="2"/>
  <c r="L71" i="2"/>
  <c r="I71" i="2"/>
  <c r="G71" i="2"/>
  <c r="F71" i="2"/>
  <c r="M70" i="2"/>
  <c r="L70" i="2"/>
  <c r="G70" i="2"/>
  <c r="I70" i="2" s="1"/>
  <c r="F70" i="2"/>
  <c r="M69" i="2"/>
  <c r="L69" i="2"/>
  <c r="I69" i="2"/>
  <c r="G69" i="2"/>
  <c r="F69" i="2"/>
  <c r="M68" i="2"/>
  <c r="L68" i="2"/>
  <c r="G68" i="2"/>
  <c r="I68" i="2" s="1"/>
  <c r="F68" i="2"/>
  <c r="M67" i="2"/>
  <c r="G67" i="2"/>
  <c r="F67" i="2"/>
  <c r="L67" i="2" s="1"/>
  <c r="M66" i="2"/>
  <c r="G66" i="2"/>
  <c r="F66" i="2"/>
  <c r="L66" i="2" s="1"/>
  <c r="L65" i="2"/>
  <c r="G65" i="2"/>
  <c r="F65" i="2"/>
  <c r="M65" i="2" s="1"/>
  <c r="M64" i="2"/>
  <c r="G64" i="2"/>
  <c r="F64" i="2"/>
  <c r="L64" i="2" s="1"/>
  <c r="M63" i="2"/>
  <c r="G63" i="2"/>
  <c r="F63" i="2"/>
  <c r="L63" i="2" s="1"/>
  <c r="L62" i="2"/>
  <c r="G62" i="2"/>
  <c r="F62" i="2"/>
  <c r="M62" i="2" s="1"/>
  <c r="M61" i="2"/>
  <c r="G61" i="2"/>
  <c r="F61" i="2"/>
  <c r="F76" i="2" s="1"/>
  <c r="AB96" i="1"/>
  <c r="AB95" i="1"/>
  <c r="AB94" i="1"/>
  <c r="AB93" i="1"/>
  <c r="M86" i="1"/>
  <c r="L86" i="1"/>
  <c r="G86" i="1"/>
  <c r="I86" i="1" s="1"/>
  <c r="F86" i="1"/>
  <c r="M85" i="1"/>
  <c r="L85" i="1"/>
  <c r="G85" i="1"/>
  <c r="I85" i="1" s="1"/>
  <c r="F85" i="1"/>
  <c r="M84" i="1"/>
  <c r="L84" i="1"/>
  <c r="G84" i="1"/>
  <c r="I84" i="1" s="1"/>
  <c r="F84" i="1"/>
  <c r="M83" i="1"/>
  <c r="L83" i="1"/>
  <c r="G83" i="1"/>
  <c r="I83" i="1" s="1"/>
  <c r="F83" i="1"/>
  <c r="M82" i="1"/>
  <c r="L82" i="1"/>
  <c r="G82" i="1"/>
  <c r="I82" i="1" s="1"/>
  <c r="F82" i="1"/>
  <c r="M81" i="1"/>
  <c r="L81" i="1"/>
  <c r="G81" i="1"/>
  <c r="I81" i="1" s="1"/>
  <c r="F81" i="1"/>
  <c r="M80" i="1"/>
  <c r="L80" i="1"/>
  <c r="G80" i="1"/>
  <c r="I80" i="1" s="1"/>
  <c r="F80" i="1"/>
  <c r="M79" i="1"/>
  <c r="L79" i="1"/>
  <c r="G79" i="1"/>
  <c r="I79" i="1" s="1"/>
  <c r="F79" i="1"/>
  <c r="M78" i="1"/>
  <c r="G78" i="1"/>
  <c r="F78" i="1"/>
  <c r="L78" i="1" s="1"/>
  <c r="M77" i="1"/>
  <c r="G77" i="1"/>
  <c r="F77" i="1"/>
  <c r="L77" i="1" s="1"/>
  <c r="L76" i="1"/>
  <c r="G76" i="1"/>
  <c r="F76" i="1"/>
  <c r="M76" i="1" s="1"/>
  <c r="M75" i="1"/>
  <c r="G75" i="1"/>
  <c r="F75" i="1"/>
  <c r="L75" i="1" s="1"/>
  <c r="M74" i="1"/>
  <c r="G74" i="1"/>
  <c r="F74" i="1"/>
  <c r="L74" i="1" s="1"/>
  <c r="L73" i="1"/>
  <c r="G73" i="1"/>
  <c r="F73" i="1"/>
  <c r="M73" i="1" s="1"/>
  <c r="M72" i="1"/>
  <c r="G72" i="1"/>
  <c r="F72" i="1"/>
  <c r="L72" i="1" s="1"/>
  <c r="D16" i="1"/>
  <c r="D15" i="1"/>
  <c r="G76" i="2" l="1"/>
  <c r="M76" i="2"/>
  <c r="L61" i="2"/>
  <c r="L87" i="1"/>
  <c r="M87" i="1"/>
  <c r="F87" i="1"/>
  <c r="G87" i="1"/>
  <c r="D62" i="1"/>
  <c r="D51" i="2"/>
  <c r="L76" i="2" l="1"/>
  <c r="H85" i="1"/>
  <c r="H77" i="1"/>
  <c r="I77" i="1" s="1"/>
  <c r="H78" i="1"/>
  <c r="I78" i="1" s="1"/>
  <c r="H79" i="1"/>
  <c r="H72" i="1"/>
  <c r="I72" i="1" s="1"/>
  <c r="H83" i="1"/>
  <c r="H73" i="1"/>
  <c r="I73" i="1" s="1"/>
  <c r="H75" i="1"/>
  <c r="I75" i="1" s="1"/>
  <c r="H81" i="1"/>
  <c r="H84" i="1"/>
  <c r="H86" i="1"/>
  <c r="H82" i="1"/>
  <c r="H80" i="1"/>
  <c r="H76" i="1"/>
  <c r="I76" i="1" s="1"/>
  <c r="H74" i="1"/>
  <c r="I74" i="1" s="1"/>
  <c r="H82" i="2"/>
  <c r="H83" i="2"/>
  <c r="H84" i="2"/>
  <c r="H85" i="2"/>
  <c r="G96" i="1"/>
  <c r="G95" i="1"/>
  <c r="G94" i="1"/>
  <c r="G93" i="1"/>
  <c r="G84" i="2"/>
  <c r="G83" i="2"/>
  <c r="G85" i="2"/>
  <c r="H68" i="2" l="1"/>
  <c r="H72" i="2"/>
  <c r="H64" i="2"/>
  <c r="I64" i="2" s="1"/>
  <c r="H71" i="2"/>
  <c r="H73" i="2"/>
  <c r="H70" i="2"/>
  <c r="H63" i="2"/>
  <c r="I63" i="2" s="1"/>
  <c r="H74" i="2"/>
  <c r="H75" i="2"/>
  <c r="H67" i="2"/>
  <c r="I67" i="2" s="1"/>
  <c r="H69" i="2"/>
  <c r="H65" i="2"/>
  <c r="I65" i="2" s="1"/>
  <c r="H66" i="2"/>
  <c r="I66" i="2" s="1"/>
  <c r="H62" i="2"/>
  <c r="I62" i="2" s="1"/>
  <c r="H61" i="2"/>
  <c r="H76" i="2" s="1"/>
  <c r="I61" i="2"/>
  <c r="I76" i="2" s="1"/>
  <c r="I87" i="1"/>
  <c r="H87" i="1"/>
  <c r="O82" i="2"/>
  <c r="D29" i="2"/>
  <c r="L83" i="2" s="1"/>
  <c r="Y85" i="2"/>
  <c r="U85" i="2"/>
  <c r="O85" i="2"/>
  <c r="J85" i="2"/>
  <c r="Y84" i="2"/>
  <c r="U84" i="2"/>
  <c r="O84" i="2"/>
  <c r="J84" i="2"/>
  <c r="Y83" i="2"/>
  <c r="U83" i="2"/>
  <c r="O83" i="2"/>
  <c r="J83" i="2"/>
  <c r="AF83" i="2" s="1"/>
  <c r="Y82" i="2"/>
  <c r="U82" i="2"/>
  <c r="J82" i="2"/>
  <c r="D39" i="2"/>
  <c r="A25" i="2"/>
  <c r="A24" i="2"/>
  <c r="D21" i="2"/>
  <c r="D22" i="2" s="1"/>
  <c r="E85" i="2" s="1"/>
  <c r="R85" i="2" s="1"/>
  <c r="AL82" i="2" l="1"/>
  <c r="AM82" i="2" s="1"/>
  <c r="AL83" i="2"/>
  <c r="AL85" i="2"/>
  <c r="AL84" i="2"/>
  <c r="AM84" i="2" s="1"/>
  <c r="AS95" i="1"/>
  <c r="AS94" i="1"/>
  <c r="AS93" i="1"/>
  <c r="AT93" i="1" s="1"/>
  <c r="AS96" i="1"/>
  <c r="AT96" i="1" s="1"/>
  <c r="AT95" i="1"/>
  <c r="AT94" i="1"/>
  <c r="E82" i="2"/>
  <c r="R82" i="2" s="1"/>
  <c r="E83" i="2"/>
  <c r="R83" i="2" s="1"/>
  <c r="E84" i="2"/>
  <c r="R84" i="2" s="1"/>
  <c r="D42" i="2"/>
  <c r="D33" i="2"/>
  <c r="D36" i="2" s="1"/>
  <c r="L82" i="2"/>
  <c r="L84" i="2"/>
  <c r="L85" i="2"/>
  <c r="F83" i="2"/>
  <c r="F85" i="2"/>
  <c r="D45" i="2"/>
  <c r="D52" i="2"/>
  <c r="D53" i="2" s="1"/>
  <c r="AF85" i="2"/>
  <c r="AF82" i="2"/>
  <c r="AF84" i="2"/>
  <c r="D21" i="1"/>
  <c r="D22" i="1" s="1"/>
  <c r="AM85" i="2" l="1"/>
  <c r="AM83" i="2"/>
  <c r="F82" i="2"/>
  <c r="S83" i="2"/>
  <c r="Z83" i="2" s="1"/>
  <c r="AA83" i="2" s="1"/>
  <c r="AB83" i="2" s="1"/>
  <c r="AC83" i="2" s="1"/>
  <c r="S82" i="2"/>
  <c r="S85" i="2"/>
  <c r="S84" i="2"/>
  <c r="Z84" i="2" s="1"/>
  <c r="AA84" i="2" s="1"/>
  <c r="AB84" i="2" s="1"/>
  <c r="AC84" i="2" s="1"/>
  <c r="F84" i="2"/>
  <c r="M84" i="2" s="1"/>
  <c r="M83" i="2"/>
  <c r="M82" i="2"/>
  <c r="M85" i="2"/>
  <c r="N85" i="2" s="1"/>
  <c r="T85" i="2"/>
  <c r="V85" i="2" s="1"/>
  <c r="W85" i="2" s="1"/>
  <c r="Z85" i="2"/>
  <c r="AA85" i="2" s="1"/>
  <c r="AB85" i="2" s="1"/>
  <c r="AC85" i="2" s="1"/>
  <c r="Z82" i="2"/>
  <c r="AA82" i="2" s="1"/>
  <c r="AB82" i="2" s="1"/>
  <c r="AC82" i="2" s="1"/>
  <c r="T82" i="2"/>
  <c r="V82" i="2" s="1"/>
  <c r="W82" i="2" s="1"/>
  <c r="T83" i="2"/>
  <c r="V83" i="2" s="1"/>
  <c r="W83" i="2" s="1"/>
  <c r="E93" i="1"/>
  <c r="T84" i="2" l="1"/>
  <c r="V84" i="2" s="1"/>
  <c r="W84" i="2" s="1"/>
  <c r="N84" i="2"/>
  <c r="P84" i="2" s="1"/>
  <c r="N83" i="2"/>
  <c r="P83" i="2" s="1"/>
  <c r="AG83" i="2" s="1"/>
  <c r="N82" i="2"/>
  <c r="P82" i="2" s="1"/>
  <c r="AG82" i="2" s="1"/>
  <c r="P85" i="2"/>
  <c r="AG85" i="2" s="1"/>
  <c r="A24" i="1"/>
  <c r="A23" i="1"/>
  <c r="H96" i="1"/>
  <c r="H95" i="1"/>
  <c r="H94" i="1"/>
  <c r="H93" i="1"/>
  <c r="AH85" i="2" l="1"/>
  <c r="AP85" i="2"/>
  <c r="AQ85" i="2" s="1"/>
  <c r="AR85" i="2" s="1"/>
  <c r="AH82" i="2"/>
  <c r="AP82" i="2"/>
  <c r="AQ82" i="2" s="1"/>
  <c r="AR82" i="2" s="1"/>
  <c r="AH83" i="2"/>
  <c r="AP83" i="2"/>
  <c r="AQ83" i="2" s="1"/>
  <c r="AR83" i="2" s="1"/>
  <c r="AG84" i="2"/>
  <c r="AF96" i="1"/>
  <c r="AF95" i="1"/>
  <c r="AF94" i="1"/>
  <c r="AF93" i="1"/>
  <c r="D27" i="1"/>
  <c r="D30" i="1" s="1"/>
  <c r="D33" i="1" s="1"/>
  <c r="S96" i="1"/>
  <c r="S95" i="1"/>
  <c r="S94" i="1"/>
  <c r="S93" i="1"/>
  <c r="V96" i="1"/>
  <c r="V95" i="1"/>
  <c r="V94" i="1"/>
  <c r="V93" i="1"/>
  <c r="O96" i="1"/>
  <c r="O95" i="1"/>
  <c r="O94" i="1"/>
  <c r="O93" i="1"/>
  <c r="D50" i="1"/>
  <c r="D53" i="1" s="1"/>
  <c r="AH84" i="2" l="1"/>
  <c r="AI82" i="2" s="1"/>
  <c r="AP84" i="2"/>
  <c r="AQ84" i="2" s="1"/>
  <c r="AR84" i="2" s="1"/>
  <c r="AS82" i="2" s="1"/>
  <c r="D43" i="1"/>
  <c r="D46" i="1" s="1"/>
  <c r="J93" i="1"/>
  <c r="AM93" i="1" s="1"/>
  <c r="E94" i="1"/>
  <c r="J94" i="1"/>
  <c r="AM94" i="1" s="1"/>
  <c r="E95" i="1"/>
  <c r="J95" i="1"/>
  <c r="AM95" i="1" s="1"/>
  <c r="E96" i="1"/>
  <c r="J96" i="1"/>
  <c r="AM96" i="1" s="1"/>
  <c r="D63" i="1"/>
  <c r="D56" i="1"/>
  <c r="D64" i="1" l="1"/>
  <c r="T93" i="1"/>
  <c r="U93" i="1" s="1"/>
  <c r="W93" i="1" s="1"/>
  <c r="T95" i="1"/>
  <c r="T96" i="1"/>
  <c r="T94" i="1"/>
  <c r="L96" i="1"/>
  <c r="M96" i="1" s="1"/>
  <c r="Y96" i="1"/>
  <c r="Z96" i="1" s="1"/>
  <c r="L95" i="1"/>
  <c r="M95" i="1" s="1"/>
  <c r="Y95" i="1"/>
  <c r="Z95" i="1" s="1"/>
  <c r="L93" i="1"/>
  <c r="M93" i="1" s="1"/>
  <c r="Y93" i="1"/>
  <c r="Z93" i="1" s="1"/>
  <c r="L94" i="1"/>
  <c r="M94" i="1" s="1"/>
  <c r="Y94" i="1"/>
  <c r="Z94" i="1" s="1"/>
  <c r="F95" i="1"/>
  <c r="F94" i="1"/>
  <c r="F93" i="1"/>
  <c r="F96" i="1"/>
  <c r="AC95" i="1" l="1"/>
  <c r="AD95" i="1" s="1"/>
  <c r="U95" i="1"/>
  <c r="W95" i="1" s="1"/>
  <c r="U96" i="1"/>
  <c r="W96" i="1" s="1"/>
  <c r="U94" i="1"/>
  <c r="W94" i="1" s="1"/>
  <c r="AA94" i="1"/>
  <c r="AC94" i="1" s="1"/>
  <c r="AD94" i="1" s="1"/>
  <c r="AG94" i="1"/>
  <c r="AG95" i="1"/>
  <c r="AH95" i="1" s="1"/>
  <c r="AA95" i="1"/>
  <c r="AA93" i="1"/>
  <c r="AC93" i="1" s="1"/>
  <c r="AD93" i="1" s="1"/>
  <c r="AG93" i="1"/>
  <c r="AH93" i="1" s="1"/>
  <c r="AG96" i="1"/>
  <c r="AH96" i="1" s="1"/>
  <c r="AA96" i="1"/>
  <c r="AC96" i="1" s="1"/>
  <c r="AD96" i="1" s="1"/>
  <c r="N93" i="1"/>
  <c r="P93" i="1" s="1"/>
  <c r="N94" i="1"/>
  <c r="N96" i="1"/>
  <c r="N95" i="1"/>
  <c r="P96" i="1" l="1"/>
  <c r="P95" i="1"/>
  <c r="Q93" i="1"/>
  <c r="P94" i="1"/>
  <c r="AI96" i="1"/>
  <c r="AJ96" i="1" s="1"/>
  <c r="AN96" i="1" s="1"/>
  <c r="AI95" i="1"/>
  <c r="AJ95" i="1" s="1"/>
  <c r="AN95" i="1" s="1"/>
  <c r="AI93" i="1"/>
  <c r="AJ93" i="1" s="1"/>
  <c r="AN93" i="1" s="1"/>
  <c r="AH94" i="1"/>
  <c r="AI94" i="1" s="1"/>
  <c r="AJ94" i="1" s="1"/>
  <c r="AN94" i="1" s="1"/>
  <c r="AO96" i="1" l="1"/>
  <c r="AW96" i="1"/>
  <c r="AX96" i="1" s="1"/>
  <c r="AY96" i="1" s="1"/>
  <c r="AO94" i="1"/>
  <c r="AW94" i="1"/>
  <c r="AX94" i="1" s="1"/>
  <c r="AY94" i="1" s="1"/>
  <c r="AO93" i="1"/>
  <c r="AW93" i="1"/>
  <c r="AX93" i="1" s="1"/>
  <c r="AY93" i="1" s="1"/>
  <c r="AO95" i="1"/>
  <c r="AW95" i="1"/>
  <c r="AX95" i="1" s="1"/>
  <c r="AY95" i="1" s="1"/>
  <c r="Q96" i="1"/>
  <c r="Q94" i="1"/>
  <c r="Q95" i="1"/>
  <c r="AZ93" i="1" l="1"/>
  <c r="AP93" i="1"/>
</calcChain>
</file>

<file path=xl/sharedStrings.xml><?xml version="1.0" encoding="utf-8"?>
<sst xmlns="http://schemas.openxmlformats.org/spreadsheetml/2006/main" count="703" uniqueCount="142">
  <si>
    <t>Qtde Chillers Operantes</t>
  </si>
  <si>
    <t>Vazao</t>
  </si>
  <si>
    <t>Qtde BAGPs Operantes</t>
  </si>
  <si>
    <t>Qtde Circuitos Secundarios</t>
  </si>
  <si>
    <t>Qtde Torres</t>
  </si>
  <si>
    <t>Qual temperatura para Economizador?</t>
  </si>
  <si>
    <t>Tem economizador (Circuito de Ar)?</t>
  </si>
  <si>
    <t>H</t>
  </si>
  <si>
    <t>Condensação - Ar ou Água?</t>
  </si>
  <si>
    <t>Total de Horas em Operação</t>
  </si>
  <si>
    <t>ºC</t>
  </si>
  <si>
    <t>%</t>
  </si>
  <si>
    <t>kW</t>
  </si>
  <si>
    <t>m³/h</t>
  </si>
  <si>
    <t>m.c.a.</t>
  </si>
  <si>
    <t>Primário/ Secundário</t>
  </si>
  <si>
    <t>h</t>
  </si>
  <si>
    <t>Input</t>
  </si>
  <si>
    <t>Cidade</t>
  </si>
  <si>
    <t>RN</t>
  </si>
  <si>
    <t>Calc</t>
  </si>
  <si>
    <t>São Paulo</t>
  </si>
  <si>
    <t>Horário de Funcionamento do sistema - Semana</t>
  </si>
  <si>
    <t>Horário de Funcionamento do sistema - Sab/Dom</t>
  </si>
  <si>
    <t>08:00 - 19:00</t>
  </si>
  <si>
    <t>---</t>
  </si>
  <si>
    <t>Não</t>
  </si>
  <si>
    <t>Carga Interna - Pico Verão</t>
  </si>
  <si>
    <t>Carga Externa - Pico Verão</t>
  </si>
  <si>
    <t>Carga Térmica Total - Pico Verão</t>
  </si>
  <si>
    <t>DT - Agua Gelada</t>
  </si>
  <si>
    <t>DT - Agua Resfriamento</t>
  </si>
  <si>
    <t>Qtde BAGSs Operantes</t>
  </si>
  <si>
    <t>Qtde BACs Operantes</t>
  </si>
  <si>
    <r>
      <t>COP - 100% Q</t>
    </r>
    <r>
      <rPr>
        <vertAlign val="subscript"/>
        <sz val="11"/>
        <color theme="1"/>
        <rFont val="Arial"/>
        <family val="2"/>
      </rPr>
      <t>CH</t>
    </r>
  </si>
  <si>
    <t>Inversor de Frequência?</t>
  </si>
  <si>
    <t>S/N</t>
  </si>
  <si>
    <t>S</t>
  </si>
  <si>
    <t>% Horas</t>
  </si>
  <si>
    <t>Qtde</t>
  </si>
  <si>
    <t>Chillers</t>
  </si>
  <si>
    <r>
      <t>%Q</t>
    </r>
    <r>
      <rPr>
        <vertAlign val="subscript"/>
        <sz val="11"/>
        <color theme="1"/>
        <rFont val="Arial"/>
        <family val="2"/>
      </rPr>
      <t>CH</t>
    </r>
  </si>
  <si>
    <t>COP</t>
  </si>
  <si>
    <t>TBS Ar</t>
  </si>
  <si>
    <t>Torres</t>
  </si>
  <si>
    <t>BAGPs</t>
  </si>
  <si>
    <t>BAGSs</t>
  </si>
  <si>
    <t>BACs</t>
  </si>
  <si>
    <r>
      <t>W</t>
    </r>
    <r>
      <rPr>
        <vertAlign val="subscript"/>
        <sz val="11"/>
        <color theme="1"/>
        <rFont val="Arial"/>
        <family val="2"/>
      </rPr>
      <t>Total</t>
    </r>
  </si>
  <si>
    <t>% Carga Térmica</t>
  </si>
  <si>
    <t>Controle Vazão?</t>
  </si>
  <si>
    <t>B/D</t>
  </si>
  <si>
    <t>Bombas em Barrilete ou Dedicadas?</t>
  </si>
  <si>
    <t>Perda de Pressão - Chillers</t>
  </si>
  <si>
    <t>Vazão Total</t>
  </si>
  <si>
    <t>Controle Vazão? (se houver VFD)</t>
  </si>
  <si>
    <t>Inversor de Frequência (VFD)?</t>
  </si>
  <si>
    <t>Efic</t>
  </si>
  <si>
    <t>s</t>
  </si>
  <si>
    <t>b</t>
  </si>
  <si>
    <t>Perda de Pressão - Ramal Fan-Coil Referencia</t>
  </si>
  <si>
    <t>Capacidade Projeto - 1 Chiller</t>
  </si>
  <si>
    <t>Capacidade Minima - 1 Chiller</t>
  </si>
  <si>
    <t>Verif. Motor</t>
  </si>
  <si>
    <t>Potência Motor</t>
  </si>
  <si>
    <t>TBU Ar</t>
  </si>
  <si>
    <t>Approach na bacia da Torre (Temp.Saida - TBU)</t>
  </si>
  <si>
    <t>Temp. Entrada Água Resf.</t>
  </si>
  <si>
    <t>Temp. Entrada Ar Externo</t>
  </si>
  <si>
    <t>Effic</t>
  </si>
  <si>
    <t>kW/ºC</t>
  </si>
  <si>
    <t>Efficácia</t>
  </si>
  <si>
    <t>Temp. Entrada</t>
  </si>
  <si>
    <t>B</t>
  </si>
  <si>
    <t>água</t>
  </si>
  <si>
    <t>Válvula de Bloqueio Motorizada na Entrada?</t>
  </si>
  <si>
    <r>
      <t>W</t>
    </r>
    <r>
      <rPr>
        <vertAlign val="subscript"/>
        <sz val="11"/>
        <rFont val="Arial"/>
        <family val="2"/>
      </rPr>
      <t>Total</t>
    </r>
  </si>
  <si>
    <r>
      <t>W</t>
    </r>
    <r>
      <rPr>
        <vertAlign val="subscript"/>
        <sz val="11"/>
        <rFont val="Arial"/>
        <family val="2"/>
      </rPr>
      <t>Total-Chillers</t>
    </r>
  </si>
  <si>
    <r>
      <t>W</t>
    </r>
    <r>
      <rPr>
        <vertAlign val="subscript"/>
        <sz val="11"/>
        <rFont val="Arial"/>
        <family val="2"/>
      </rPr>
      <t>Total-CAG</t>
    </r>
  </si>
  <si>
    <r>
      <t>COP</t>
    </r>
    <r>
      <rPr>
        <vertAlign val="subscript"/>
        <sz val="11"/>
        <rFont val="Arial"/>
        <family val="2"/>
      </rPr>
      <t>Total-CAG</t>
    </r>
  </si>
  <si>
    <t>SPLV</t>
  </si>
  <si>
    <t>CAG - Total</t>
  </si>
  <si>
    <t>Primário Variável</t>
  </si>
  <si>
    <t>Qtde BAGs Operantes</t>
  </si>
  <si>
    <t>BAGs</t>
  </si>
  <si>
    <t>% Vazão Total</t>
  </si>
  <si>
    <t>Potência Nominal do Motor</t>
  </si>
  <si>
    <t>Potência Absorvida no Eixo</t>
  </si>
  <si>
    <t>Info</t>
  </si>
  <si>
    <t>Default</t>
  </si>
  <si>
    <t>Vazão Mínima Permitida no Chiller                                            (dado de catálogo do Fabricante do Chiller)</t>
  </si>
  <si>
    <t xml:space="preserve">Default = </t>
  </si>
  <si>
    <r>
      <t>Q</t>
    </r>
    <r>
      <rPr>
        <vertAlign val="subscript"/>
        <sz val="11"/>
        <color theme="1"/>
        <rFont val="Arial"/>
        <family val="2"/>
      </rPr>
      <t>Min-1CH</t>
    </r>
    <r>
      <rPr>
        <sz val="11"/>
        <color theme="1"/>
        <rFont val="Arial"/>
        <family val="2"/>
      </rPr>
      <t xml:space="preserve"> x 1.05</t>
    </r>
  </si>
  <si>
    <t>Input/ Calc</t>
  </si>
  <si>
    <t>Calc/Input</t>
  </si>
  <si>
    <t>Calc/ Input</t>
  </si>
  <si>
    <t>Altura Manométrica da Bomba</t>
  </si>
  <si>
    <t>Eficiência da Bomba</t>
  </si>
  <si>
    <t>Efficácia das Torres</t>
  </si>
  <si>
    <t>Default =</t>
  </si>
  <si>
    <t>Qtde Chillers</t>
  </si>
  <si>
    <t>Valor Mínimo de Input = Calc</t>
  </si>
  <si>
    <t>Valor Mínimo de Input &gt; Potência Absorvida no Eixo</t>
  </si>
  <si>
    <t>Valor Mínimo de Input &gt; Capacidade Minima - 1 Chiller</t>
  </si>
  <si>
    <t>Valor Máx = Qtde Chillers Operantes</t>
  </si>
  <si>
    <t>Valor Máx = Qtde    BAGPs Operantes</t>
  </si>
  <si>
    <t>Valor Máx= Efic a 100%</t>
  </si>
  <si>
    <t>Valor Máx = Qtde    BAGSs Operantes</t>
  </si>
  <si>
    <t>Valor Máx = Qtde    BACs Operantes</t>
  </si>
  <si>
    <t>Valor Min = Perda de Pressão - Chillers (D26) + 5 m.c.a</t>
  </si>
  <si>
    <t>Valor Min = Perda de Pressão - Ramal Fan-Coil Referencia (D39) +1 m.c.a.</t>
  </si>
  <si>
    <t>Valor Min = Perda de Pressão - Chillers (D49) + 5 m.c.a</t>
  </si>
  <si>
    <t>Valor Máx = Qtde    Torres Operantes</t>
  </si>
  <si>
    <t>Valor Min = Perda de Pressão - Ramal Fan-Coil Referencia (D39) +2 m.c.a.</t>
  </si>
  <si>
    <t>Valor Máx = Qtde    BAGs Operantes</t>
  </si>
  <si>
    <t>Perda de Pressão                                                      (Ramal do Fan Coil de Referencia)</t>
  </si>
  <si>
    <t>Condicionadores de Ar - Água Gelada                                               (Fan Coils / AHUs)</t>
  </si>
  <si>
    <t>Carga Térmica</t>
  </si>
  <si>
    <t>Potência  Eixo do Ventilador</t>
  </si>
  <si>
    <t>Face</t>
  </si>
  <si>
    <t>Carga Térmica Total</t>
  </si>
  <si>
    <t>Carga Térmica Pico</t>
  </si>
  <si>
    <t>Potência  Pico Eixo do Ventilador</t>
  </si>
  <si>
    <t>(L / O)</t>
  </si>
  <si>
    <t>O</t>
  </si>
  <si>
    <t>L</t>
  </si>
  <si>
    <t>Típico</t>
  </si>
  <si>
    <t>Outro</t>
  </si>
  <si>
    <t>Total - Condicionadores de Ar</t>
  </si>
  <si>
    <t>Condicionadores de Ar</t>
  </si>
  <si>
    <t>Torres de Resfriamento</t>
  </si>
  <si>
    <t>Potência Total Eixo do Ventilador</t>
  </si>
  <si>
    <t>Sistema de Ar Condicionado - Total</t>
  </si>
  <si>
    <r>
      <t>W</t>
    </r>
    <r>
      <rPr>
        <vertAlign val="subscript"/>
        <sz val="11"/>
        <rFont val="Arial"/>
        <family val="2"/>
      </rPr>
      <t>Total-AC</t>
    </r>
  </si>
  <si>
    <r>
      <t>COP</t>
    </r>
    <r>
      <rPr>
        <vertAlign val="subscript"/>
        <sz val="11"/>
        <rFont val="Arial"/>
        <family val="2"/>
      </rPr>
      <t>Total-AC</t>
    </r>
  </si>
  <si>
    <r>
      <t>SPLV</t>
    </r>
    <r>
      <rPr>
        <vertAlign val="subscript"/>
        <sz val="11"/>
        <rFont val="Arial"/>
        <family val="2"/>
      </rPr>
      <t>CAG</t>
    </r>
  </si>
  <si>
    <r>
      <t>SPLV</t>
    </r>
    <r>
      <rPr>
        <vertAlign val="subscript"/>
        <sz val="11"/>
        <rFont val="Arial"/>
        <family val="2"/>
      </rPr>
      <t>AC</t>
    </r>
  </si>
  <si>
    <t>Potência Pico Eixo do Ventilador</t>
  </si>
  <si>
    <t>Ar Externo</t>
  </si>
  <si>
    <t>Rede Neural</t>
  </si>
  <si>
    <t>Tipo do Circuito de Água Gelada</t>
  </si>
  <si>
    <t>PLANILHA EM DESENVOLVIMENTO COM A ABRAVA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</si>
</sst>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color theme="1"/>
      <name val="Arial"/>
      <family val="2"/>
    </font>
    <font>
      <sz val="11"/>
      <color theme="0" tint="-0.14999847407452621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>
      <alignment horizontal="center" vertical="center"/>
    </xf>
    <xf numFmtId="1" fontId="7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 vertical="center"/>
    </xf>
    <xf numFmtId="1" fontId="1" fillId="2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100"/>
  <sheetViews>
    <sheetView workbookViewId="0">
      <selection sqref="A1:J2"/>
    </sheetView>
  </sheetViews>
  <sheetFormatPr defaultRowHeight="17.25" customHeight="1" x14ac:dyDescent="0.25"/>
  <cols>
    <col min="1" max="1" width="48.42578125" style="1" customWidth="1"/>
    <col min="2" max="2" width="15.7109375" style="1" customWidth="1"/>
    <col min="3" max="4" width="13" style="1" customWidth="1"/>
    <col min="5" max="5" width="11.5703125" style="2" customWidth="1"/>
    <col min="6" max="6" width="15.7109375" style="2" customWidth="1"/>
    <col min="7" max="7" width="14.7109375" style="1" customWidth="1"/>
    <col min="8" max="8" width="16.28515625" style="1" customWidth="1"/>
    <col min="9" max="9" width="15.42578125" style="1" customWidth="1"/>
    <col min="10" max="10" width="10.140625" style="1" customWidth="1"/>
    <col min="11" max="11" width="2.42578125" style="1" customWidth="1"/>
    <col min="12" max="16" width="12.7109375" style="1" customWidth="1"/>
    <col min="17" max="17" width="12.140625" style="1" customWidth="1"/>
    <col min="18" max="18" width="3.140625" style="1" customWidth="1"/>
    <col min="19" max="19" width="11.42578125" style="1" customWidth="1"/>
    <col min="20" max="20" width="9.140625" style="1"/>
    <col min="21" max="21" width="11.7109375" style="1" customWidth="1"/>
    <col min="22" max="22" width="11.140625" style="1" customWidth="1"/>
    <col min="23" max="23" width="10" style="1" customWidth="1"/>
    <col min="24" max="24" width="3.7109375" style="1" customWidth="1"/>
    <col min="25" max="25" width="12" style="1" customWidth="1"/>
    <col min="26" max="26" width="9.140625" style="1"/>
    <col min="27" max="27" width="11.28515625" style="1" customWidth="1"/>
    <col min="28" max="28" width="12.42578125" style="1" customWidth="1"/>
    <col min="29" max="30" width="9.140625" style="1"/>
    <col min="31" max="31" width="3.85546875" style="1" customWidth="1"/>
    <col min="32" max="32" width="11.28515625" style="18" customWidth="1"/>
    <col min="33" max="33" width="10.140625" style="18" customWidth="1"/>
    <col min="34" max="34" width="9.140625" style="18"/>
    <col min="35" max="35" width="10.140625" style="18" customWidth="1"/>
    <col min="36" max="37" width="9.140625" style="18"/>
    <col min="38" max="38" width="12.7109375" style="18" customWidth="1"/>
    <col min="39" max="39" width="14.85546875" style="1" customWidth="1"/>
    <col min="40" max="40" width="12.28515625" style="1" customWidth="1"/>
    <col min="41" max="41" width="13.7109375" style="1" customWidth="1"/>
    <col min="42" max="42" width="15.28515625" style="1" customWidth="1"/>
    <col min="43" max="43" width="9.140625" style="1"/>
    <col min="44" max="44" width="11.5703125" style="1" customWidth="1"/>
    <col min="45" max="45" width="16.28515625" style="1" customWidth="1"/>
    <col min="46" max="46" width="12.140625" style="1" customWidth="1"/>
    <col min="47" max="47" width="9.140625" style="1"/>
    <col min="48" max="48" width="12.42578125" style="1" customWidth="1"/>
    <col min="49" max="52" width="13.85546875" style="1" customWidth="1"/>
    <col min="53" max="16384" width="9.140625" style="1"/>
  </cols>
  <sheetData>
    <row r="1" spans="1:38" ht="17.25" customHeight="1" x14ac:dyDescent="0.25">
      <c r="A1" s="78" t="s">
        <v>141</v>
      </c>
      <c r="B1" s="77"/>
      <c r="C1" s="77"/>
      <c r="D1" s="77"/>
      <c r="E1" s="77"/>
      <c r="F1" s="77"/>
      <c r="G1" s="77"/>
      <c r="H1" s="77"/>
      <c r="I1" s="77"/>
      <c r="J1" s="77"/>
    </row>
    <row r="2" spans="1:38" ht="17.2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38" ht="17.25" customHeight="1" x14ac:dyDescent="0.25">
      <c r="E3" s="9"/>
      <c r="F3" s="9"/>
    </row>
    <row r="5" spans="1:38" ht="17.25" customHeight="1" x14ac:dyDescent="0.25">
      <c r="A5" s="1" t="s">
        <v>140</v>
      </c>
      <c r="B5" s="1" t="s">
        <v>17</v>
      </c>
      <c r="C5" s="2"/>
      <c r="D5" s="67" t="s">
        <v>15</v>
      </c>
      <c r="E5" s="1"/>
      <c r="F5" s="1"/>
      <c r="AF5" s="1"/>
      <c r="AG5" s="1"/>
      <c r="AH5" s="1"/>
      <c r="AI5" s="1"/>
      <c r="AJ5" s="1"/>
      <c r="AK5" s="1"/>
      <c r="AL5" s="1"/>
    </row>
    <row r="6" spans="1:38" ht="17.25" customHeight="1" x14ac:dyDescent="0.25">
      <c r="C6" s="2"/>
      <c r="D6" s="2"/>
      <c r="E6" s="1"/>
      <c r="F6" s="1"/>
      <c r="AF6" s="1"/>
      <c r="AG6" s="1"/>
      <c r="AH6" s="1"/>
      <c r="AI6" s="1"/>
      <c r="AJ6" s="1"/>
      <c r="AK6" s="1"/>
      <c r="AL6" s="1"/>
    </row>
    <row r="7" spans="1:38" ht="17.25" customHeight="1" x14ac:dyDescent="0.25">
      <c r="A7" s="1" t="s">
        <v>18</v>
      </c>
      <c r="B7" s="1" t="s">
        <v>17</v>
      </c>
      <c r="C7" s="2"/>
      <c r="D7" s="2" t="s">
        <v>21</v>
      </c>
      <c r="E7" s="24" t="s">
        <v>88</v>
      </c>
      <c r="F7" s="1"/>
      <c r="AF7" s="1"/>
      <c r="AG7" s="1"/>
      <c r="AH7" s="1"/>
      <c r="AI7" s="1"/>
      <c r="AJ7" s="1"/>
      <c r="AK7" s="1"/>
      <c r="AL7" s="1"/>
    </row>
    <row r="8" spans="1:38" ht="17.25" customHeight="1" x14ac:dyDescent="0.25">
      <c r="A8" s="1" t="s">
        <v>22</v>
      </c>
      <c r="B8" s="1" t="s">
        <v>17</v>
      </c>
      <c r="C8" s="2"/>
      <c r="D8" s="2" t="s">
        <v>24</v>
      </c>
      <c r="E8" s="24" t="s">
        <v>88</v>
      </c>
      <c r="F8" s="1"/>
      <c r="AF8" s="1"/>
      <c r="AG8" s="1"/>
      <c r="AH8" s="1"/>
      <c r="AI8" s="1"/>
      <c r="AJ8" s="1"/>
      <c r="AK8" s="1"/>
      <c r="AL8" s="1"/>
    </row>
    <row r="9" spans="1:38" ht="17.25" customHeight="1" x14ac:dyDescent="0.25">
      <c r="A9" s="1" t="s">
        <v>23</v>
      </c>
      <c r="B9" s="1" t="s">
        <v>17</v>
      </c>
      <c r="C9" s="2"/>
      <c r="D9" s="3" t="s">
        <v>25</v>
      </c>
      <c r="E9" s="24" t="s">
        <v>88</v>
      </c>
      <c r="F9" s="1"/>
      <c r="AF9" s="1"/>
      <c r="AG9" s="1"/>
      <c r="AH9" s="1"/>
      <c r="AI9" s="1"/>
      <c r="AJ9" s="1"/>
      <c r="AK9" s="1"/>
      <c r="AL9" s="1"/>
    </row>
    <row r="10" spans="1:38" ht="17.25" customHeight="1" x14ac:dyDescent="0.25">
      <c r="A10" s="1" t="s">
        <v>6</v>
      </c>
      <c r="B10" s="1" t="s">
        <v>17</v>
      </c>
      <c r="C10" s="2"/>
      <c r="D10" s="2" t="s">
        <v>26</v>
      </c>
      <c r="E10" s="24" t="s">
        <v>88</v>
      </c>
      <c r="F10" s="1"/>
      <c r="AF10" s="1"/>
      <c r="AG10" s="1"/>
      <c r="AH10" s="1"/>
      <c r="AI10" s="1"/>
      <c r="AJ10" s="1"/>
      <c r="AK10" s="1"/>
      <c r="AL10" s="1"/>
    </row>
    <row r="11" spans="1:38" ht="17.25" customHeight="1" x14ac:dyDescent="0.25">
      <c r="A11" s="1" t="s">
        <v>5</v>
      </c>
      <c r="B11" s="1" t="s">
        <v>17</v>
      </c>
      <c r="C11" s="2" t="s">
        <v>10</v>
      </c>
      <c r="D11" s="2"/>
      <c r="E11" s="24" t="s">
        <v>88</v>
      </c>
      <c r="F11" s="1"/>
      <c r="AF11" s="1"/>
      <c r="AG11" s="1"/>
      <c r="AH11" s="1"/>
      <c r="AI11" s="1"/>
      <c r="AJ11" s="1"/>
      <c r="AK11" s="1"/>
      <c r="AL11" s="1"/>
    </row>
    <row r="12" spans="1:38" ht="17.25" customHeight="1" x14ac:dyDescent="0.25">
      <c r="C12" s="2"/>
      <c r="D12" s="2"/>
      <c r="E12" s="24"/>
      <c r="F12" s="1"/>
      <c r="AF12" s="1"/>
      <c r="AG12" s="1"/>
      <c r="AH12" s="1"/>
      <c r="AI12" s="1"/>
      <c r="AJ12" s="1"/>
      <c r="AK12" s="1"/>
      <c r="AL12" s="1"/>
    </row>
    <row r="13" spans="1:38" ht="17.25" customHeight="1" x14ac:dyDescent="0.25">
      <c r="A13" s="27" t="s">
        <v>9</v>
      </c>
      <c r="B13" s="27" t="s">
        <v>139</v>
      </c>
      <c r="C13" s="30" t="s">
        <v>16</v>
      </c>
      <c r="D13" s="30">
        <v>4550</v>
      </c>
      <c r="E13" s="31" t="s">
        <v>88</v>
      </c>
      <c r="F13" s="1"/>
      <c r="AF13" s="1"/>
      <c r="AG13" s="1"/>
      <c r="AH13" s="1"/>
      <c r="AI13" s="1"/>
      <c r="AJ13" s="1"/>
      <c r="AK13" s="1"/>
      <c r="AL13" s="1"/>
    </row>
    <row r="14" spans="1:38" ht="17.25" customHeight="1" x14ac:dyDescent="0.25">
      <c r="C14" s="2"/>
      <c r="D14" s="2"/>
      <c r="E14" s="1"/>
      <c r="F14" s="1"/>
      <c r="AF14" s="1"/>
      <c r="AG14" s="1"/>
      <c r="AH14" s="1"/>
      <c r="AI14" s="1"/>
      <c r="AJ14" s="1"/>
      <c r="AK14" s="1"/>
      <c r="AL14" s="1"/>
    </row>
    <row r="15" spans="1:38" ht="17.25" customHeight="1" x14ac:dyDescent="0.25">
      <c r="A15" s="1" t="s">
        <v>27</v>
      </c>
      <c r="B15" s="1" t="s">
        <v>17</v>
      </c>
      <c r="C15" s="2" t="s">
        <v>12</v>
      </c>
      <c r="D15" s="58">
        <f>+E15*D17</f>
        <v>1956.3500000000001</v>
      </c>
      <c r="E15" s="59">
        <v>0.55000000000000004</v>
      </c>
      <c r="F15" s="1"/>
      <c r="AF15" s="1"/>
      <c r="AG15" s="1"/>
      <c r="AH15" s="1"/>
      <c r="AI15" s="1"/>
      <c r="AJ15" s="1"/>
      <c r="AK15" s="1"/>
      <c r="AL15" s="1"/>
    </row>
    <row r="16" spans="1:38" ht="17.25" customHeight="1" x14ac:dyDescent="0.25">
      <c r="A16" s="1" t="s">
        <v>28</v>
      </c>
      <c r="B16" s="1" t="s">
        <v>17</v>
      </c>
      <c r="C16" s="2" t="s">
        <v>12</v>
      </c>
      <c r="D16" s="58">
        <f>+E16*D17</f>
        <v>1600.65</v>
      </c>
      <c r="E16" s="59">
        <v>0.45</v>
      </c>
      <c r="F16" s="1"/>
      <c r="AF16" s="1"/>
      <c r="AG16" s="1"/>
      <c r="AH16" s="1"/>
      <c r="AI16" s="1"/>
      <c r="AJ16" s="1"/>
      <c r="AK16" s="1"/>
      <c r="AL16" s="1"/>
    </row>
    <row r="17" spans="1:38" ht="17.25" customHeight="1" x14ac:dyDescent="0.25">
      <c r="A17" s="1" t="s">
        <v>29</v>
      </c>
      <c r="B17" s="1" t="s">
        <v>17</v>
      </c>
      <c r="C17" s="2" t="s">
        <v>12</v>
      </c>
      <c r="D17" s="9">
        <v>3557</v>
      </c>
      <c r="E17" s="1"/>
      <c r="F17" s="1"/>
      <c r="AF17" s="1"/>
      <c r="AG17" s="1"/>
      <c r="AH17" s="1"/>
      <c r="AI17" s="1"/>
      <c r="AJ17" s="1"/>
      <c r="AK17" s="1"/>
      <c r="AL17" s="1"/>
    </row>
    <row r="18" spans="1:38" ht="17.25" customHeight="1" x14ac:dyDescent="0.25">
      <c r="C18" s="2"/>
      <c r="D18" s="2"/>
      <c r="E18" s="1"/>
      <c r="F18" s="1"/>
      <c r="AF18" s="1"/>
      <c r="AG18" s="1"/>
      <c r="AH18" s="1"/>
      <c r="AI18" s="1"/>
      <c r="AJ18" s="1"/>
      <c r="AK18" s="1"/>
      <c r="AL18" s="1"/>
    </row>
    <row r="19" spans="1:38" ht="17.25" customHeight="1" x14ac:dyDescent="0.25">
      <c r="A19" s="1" t="s">
        <v>8</v>
      </c>
      <c r="B19" s="1" t="s">
        <v>17</v>
      </c>
      <c r="C19" s="2"/>
      <c r="D19" s="2" t="s">
        <v>74</v>
      </c>
      <c r="E19" s="1"/>
      <c r="F19" s="1"/>
      <c r="AF19" s="1"/>
      <c r="AG19" s="1"/>
      <c r="AH19" s="1"/>
      <c r="AI19" s="1"/>
      <c r="AJ19" s="1"/>
      <c r="AK19" s="1"/>
      <c r="AL19" s="1"/>
    </row>
    <row r="20" spans="1:38" ht="17.25" customHeight="1" x14ac:dyDescent="0.25">
      <c r="A20" s="1" t="s">
        <v>0</v>
      </c>
      <c r="B20" s="1" t="s">
        <v>17</v>
      </c>
      <c r="C20" s="2"/>
      <c r="D20" s="2">
        <v>2</v>
      </c>
      <c r="E20" s="1"/>
      <c r="F20" s="1"/>
      <c r="AF20" s="1"/>
      <c r="AG20" s="1"/>
      <c r="AH20" s="1"/>
      <c r="AI20" s="1"/>
      <c r="AJ20" s="1"/>
      <c r="AK20" s="1"/>
      <c r="AL20" s="1"/>
    </row>
    <row r="21" spans="1:38" ht="17.25" customHeight="1" x14ac:dyDescent="0.25">
      <c r="A21" s="32" t="s">
        <v>62</v>
      </c>
      <c r="B21" s="32" t="s">
        <v>20</v>
      </c>
      <c r="C21" s="33" t="s">
        <v>12</v>
      </c>
      <c r="D21" s="68">
        <f>+D17/D20</f>
        <v>1778.5</v>
      </c>
      <c r="E21" s="1"/>
      <c r="F21" s="1"/>
      <c r="AF21" s="1"/>
      <c r="AG21" s="1"/>
      <c r="AH21" s="1"/>
      <c r="AI21" s="1"/>
      <c r="AJ21" s="1"/>
      <c r="AK21" s="1"/>
      <c r="AL21" s="1"/>
    </row>
    <row r="22" spans="1:38" ht="17.25" customHeight="1" x14ac:dyDescent="0.25">
      <c r="A22" s="32" t="s">
        <v>61</v>
      </c>
      <c r="B22" s="32" t="s">
        <v>94</v>
      </c>
      <c r="C22" s="33" t="s">
        <v>12</v>
      </c>
      <c r="D22" s="68">
        <f>+D21*1.05</f>
        <v>1867.4250000000002</v>
      </c>
      <c r="E22" s="52" t="s">
        <v>91</v>
      </c>
      <c r="F22" s="53" t="s">
        <v>92</v>
      </c>
      <c r="G22" s="51" t="s">
        <v>103</v>
      </c>
      <c r="H22" s="33"/>
      <c r="I22" s="32"/>
      <c r="J22" s="32"/>
      <c r="AF22" s="1"/>
      <c r="AG22" s="1"/>
      <c r="AH22" s="1"/>
      <c r="AI22" s="1"/>
      <c r="AJ22" s="1"/>
      <c r="AK22" s="1"/>
      <c r="AL22" s="1"/>
    </row>
    <row r="23" spans="1:38" ht="17.25" customHeight="1" x14ac:dyDescent="0.25">
      <c r="A23" s="1" t="str">
        <f>IF($D$19="AR","Temp. Entrada do Ar Externo - Projeto","Temp. Entrada de Água Resfriamento - Projeto")</f>
        <v>Temp. Entrada de Água Resfriamento - Projeto</v>
      </c>
      <c r="B23" s="1" t="s">
        <v>17</v>
      </c>
      <c r="C23" s="2" t="s">
        <v>10</v>
      </c>
      <c r="D23" s="5">
        <v>27.5</v>
      </c>
      <c r="E23" s="1"/>
      <c r="F23" s="1"/>
      <c r="AF23" s="1"/>
      <c r="AG23" s="1"/>
      <c r="AH23" s="1"/>
      <c r="AI23" s="1"/>
      <c r="AJ23" s="1"/>
      <c r="AK23" s="1"/>
      <c r="AL23" s="1"/>
    </row>
    <row r="24" spans="1:38" ht="31.5" customHeight="1" x14ac:dyDescent="0.25">
      <c r="A24" s="12" t="str">
        <f>IF($D$19="AR","Temp Entrada do Ar Externo Mínima                 (dado de catálogo do Fabricante do Chiller)","Temp Entrada de Água de Resfriamento Mínima (dado de catálogo do Fabricante do Chiller)")</f>
        <v>Temp Entrada de Água de Resfriamento Mínima (dado de catálogo do Fabricante do Chiller)</v>
      </c>
      <c r="B24" s="1" t="s">
        <v>17</v>
      </c>
      <c r="C24" s="2" t="s">
        <v>10</v>
      </c>
      <c r="D24" s="2">
        <v>11.5</v>
      </c>
      <c r="E24" s="1"/>
      <c r="F24" s="1"/>
      <c r="AF24" s="1"/>
      <c r="AG24" s="1"/>
      <c r="AH24" s="1"/>
      <c r="AI24" s="1"/>
      <c r="AJ24" s="1"/>
      <c r="AK24" s="1"/>
      <c r="AL24" s="1"/>
    </row>
    <row r="25" spans="1:38" ht="17.25" customHeight="1" x14ac:dyDescent="0.25">
      <c r="A25" s="1" t="s">
        <v>34</v>
      </c>
      <c r="B25" s="1" t="s">
        <v>17</v>
      </c>
      <c r="C25" s="2"/>
      <c r="D25" s="7">
        <v>6.4390000000000001</v>
      </c>
      <c r="E25" s="1"/>
      <c r="F25" s="1"/>
      <c r="AF25" s="1"/>
      <c r="AG25" s="1"/>
      <c r="AH25" s="1"/>
      <c r="AI25" s="1"/>
      <c r="AJ25" s="1"/>
      <c r="AK25" s="1"/>
      <c r="AL25" s="1"/>
    </row>
    <row r="26" spans="1:38" ht="17.25" customHeight="1" x14ac:dyDescent="0.25">
      <c r="C26" s="2"/>
      <c r="D26" s="2"/>
      <c r="E26" s="1"/>
      <c r="F26" s="1"/>
      <c r="AF26" s="1"/>
      <c r="AG26" s="1"/>
      <c r="AH26" s="1"/>
      <c r="AI26" s="1"/>
      <c r="AJ26" s="1"/>
      <c r="AK26" s="1"/>
      <c r="AL26" s="1"/>
    </row>
    <row r="27" spans="1:38" ht="17.25" customHeight="1" x14ac:dyDescent="0.25">
      <c r="A27" s="1" t="s">
        <v>2</v>
      </c>
      <c r="B27" s="1" t="s">
        <v>17</v>
      </c>
      <c r="C27" s="2"/>
      <c r="D27" s="2">
        <f>+D20</f>
        <v>2</v>
      </c>
      <c r="E27" s="24" t="s">
        <v>99</v>
      </c>
      <c r="F27" s="9" t="s">
        <v>100</v>
      </c>
      <c r="AF27" s="1"/>
      <c r="AG27" s="1"/>
      <c r="AH27" s="1"/>
      <c r="AI27" s="1"/>
      <c r="AJ27" s="1"/>
      <c r="AK27" s="1"/>
      <c r="AL27" s="1"/>
    </row>
    <row r="28" spans="1:38" ht="17.25" customHeight="1" x14ac:dyDescent="0.25">
      <c r="A28" s="1" t="s">
        <v>30</v>
      </c>
      <c r="B28" s="1" t="s">
        <v>17</v>
      </c>
      <c r="C28" s="2" t="s">
        <v>10</v>
      </c>
      <c r="D28" s="6">
        <v>7</v>
      </c>
      <c r="E28" s="1"/>
      <c r="F28" s="1"/>
      <c r="AF28" s="1"/>
      <c r="AG28" s="1"/>
      <c r="AH28" s="1"/>
      <c r="AI28" s="1"/>
      <c r="AJ28" s="1"/>
      <c r="AK28" s="1"/>
      <c r="AL28" s="1"/>
    </row>
    <row r="29" spans="1:38" ht="17.25" customHeight="1" x14ac:dyDescent="0.25">
      <c r="A29" s="1" t="s">
        <v>53</v>
      </c>
      <c r="B29" s="1" t="s">
        <v>17</v>
      </c>
      <c r="C29" s="2" t="s">
        <v>14</v>
      </c>
      <c r="D29" s="6">
        <v>5.5</v>
      </c>
      <c r="E29" s="24" t="s">
        <v>89</v>
      </c>
      <c r="F29" s="1"/>
      <c r="AF29" s="1"/>
      <c r="AG29" s="1"/>
      <c r="AH29" s="1"/>
      <c r="AI29" s="1"/>
      <c r="AJ29" s="1"/>
      <c r="AK29" s="1"/>
      <c r="AL29" s="1"/>
    </row>
    <row r="30" spans="1:38" ht="17.25" customHeight="1" x14ac:dyDescent="0.25">
      <c r="A30" s="32" t="s">
        <v>1</v>
      </c>
      <c r="B30" s="32" t="s">
        <v>94</v>
      </c>
      <c r="C30" s="33" t="s">
        <v>13</v>
      </c>
      <c r="D30" s="34">
        <f>+D22*0.86/D28*D20/D27</f>
        <v>229.42650000000003</v>
      </c>
      <c r="E30" s="1"/>
      <c r="F30" s="1"/>
      <c r="AF30" s="1"/>
      <c r="AG30" s="1"/>
      <c r="AH30" s="1"/>
      <c r="AI30" s="1"/>
      <c r="AJ30" s="1"/>
      <c r="AK30" s="1"/>
      <c r="AL30" s="1"/>
    </row>
    <row r="31" spans="1:38" ht="17.25" customHeight="1" x14ac:dyDescent="0.25">
      <c r="A31" s="1" t="s">
        <v>96</v>
      </c>
      <c r="B31" s="1" t="s">
        <v>17</v>
      </c>
      <c r="C31" s="2" t="s">
        <v>14</v>
      </c>
      <c r="D31" s="2">
        <v>13</v>
      </c>
      <c r="E31" s="24" t="s">
        <v>89</v>
      </c>
      <c r="F31" s="1"/>
      <c r="AF31" s="1"/>
      <c r="AG31" s="1"/>
      <c r="AH31" s="1"/>
      <c r="AI31" s="1"/>
      <c r="AJ31" s="1"/>
      <c r="AK31" s="1"/>
      <c r="AL31" s="1"/>
    </row>
    <row r="32" spans="1:38" ht="17.25" customHeight="1" x14ac:dyDescent="0.25">
      <c r="A32" s="1" t="s">
        <v>97</v>
      </c>
      <c r="B32" s="1" t="s">
        <v>17</v>
      </c>
      <c r="C32" s="2" t="s">
        <v>11</v>
      </c>
      <c r="D32" s="2">
        <v>81.7</v>
      </c>
      <c r="E32" s="24" t="s">
        <v>89</v>
      </c>
      <c r="F32" s="1"/>
      <c r="AF32" s="1"/>
      <c r="AG32" s="1"/>
      <c r="AH32" s="1"/>
      <c r="AI32" s="1"/>
      <c r="AJ32" s="1"/>
      <c r="AK32" s="1"/>
      <c r="AL32" s="1"/>
    </row>
    <row r="33" spans="1:38" ht="17.25" customHeight="1" x14ac:dyDescent="0.25">
      <c r="A33" s="32" t="s">
        <v>87</v>
      </c>
      <c r="B33" s="32" t="s">
        <v>20</v>
      </c>
      <c r="C33" s="33" t="s">
        <v>12</v>
      </c>
      <c r="D33" s="34">
        <f>+D30*D31/3.6/D32</f>
        <v>10.140570175438597</v>
      </c>
      <c r="E33" s="1"/>
      <c r="F33" s="1"/>
      <c r="AF33" s="1"/>
      <c r="AG33" s="1"/>
      <c r="AH33" s="1"/>
      <c r="AI33" s="1"/>
      <c r="AJ33" s="1"/>
      <c r="AK33" s="1"/>
      <c r="AL33" s="1"/>
    </row>
    <row r="34" spans="1:38" ht="17.25" customHeight="1" x14ac:dyDescent="0.25">
      <c r="A34" s="1" t="s">
        <v>86</v>
      </c>
      <c r="B34" s="1" t="s">
        <v>17</v>
      </c>
      <c r="C34" s="2" t="s">
        <v>12</v>
      </c>
      <c r="D34" s="5">
        <v>11</v>
      </c>
      <c r="E34" s="1"/>
      <c r="F34" s="32" t="s">
        <v>102</v>
      </c>
      <c r="G34" s="32"/>
      <c r="H34" s="32"/>
      <c r="I34" s="32"/>
      <c r="AF34" s="1"/>
      <c r="AG34" s="1"/>
      <c r="AH34" s="1"/>
      <c r="AI34" s="1"/>
      <c r="AJ34" s="1"/>
      <c r="AK34" s="1"/>
      <c r="AL34" s="1"/>
    </row>
    <row r="35" spans="1:38" ht="17.25" customHeight="1" x14ac:dyDescent="0.25">
      <c r="A35" s="1" t="s">
        <v>52</v>
      </c>
      <c r="B35" s="1" t="s">
        <v>17</v>
      </c>
      <c r="C35" s="2" t="s">
        <v>51</v>
      </c>
      <c r="D35" s="5" t="s">
        <v>73</v>
      </c>
      <c r="E35" s="24" t="s">
        <v>89</v>
      </c>
      <c r="F35" s="1"/>
      <c r="AF35" s="1"/>
      <c r="AG35" s="1"/>
      <c r="AH35" s="1"/>
      <c r="AI35" s="1"/>
      <c r="AJ35" s="1"/>
      <c r="AK35" s="1"/>
      <c r="AL35" s="1"/>
    </row>
    <row r="36" spans="1:38" ht="17.25" customHeight="1" x14ac:dyDescent="0.25">
      <c r="A36" s="1" t="s">
        <v>56</v>
      </c>
      <c r="B36" s="1" t="s">
        <v>17</v>
      </c>
      <c r="C36" s="2" t="s">
        <v>36</v>
      </c>
      <c r="D36" s="5" t="s">
        <v>58</v>
      </c>
      <c r="E36" s="24" t="s">
        <v>89</v>
      </c>
      <c r="F36" s="1"/>
      <c r="AF36" s="1"/>
      <c r="AG36" s="1"/>
      <c r="AH36" s="1"/>
      <c r="AI36" s="1"/>
      <c r="AJ36" s="1"/>
      <c r="AK36" s="1"/>
      <c r="AL36" s="1"/>
    </row>
    <row r="37" spans="1:38" ht="17.25" customHeight="1" x14ac:dyDescent="0.25">
      <c r="A37" s="1" t="s">
        <v>55</v>
      </c>
      <c r="B37" s="1" t="s">
        <v>17</v>
      </c>
      <c r="C37" s="2" t="s">
        <v>36</v>
      </c>
      <c r="D37" s="5" t="s">
        <v>58</v>
      </c>
      <c r="E37" s="24" t="s">
        <v>89</v>
      </c>
      <c r="F37" s="1"/>
      <c r="AF37" s="1"/>
      <c r="AG37" s="1"/>
      <c r="AH37" s="1"/>
      <c r="AI37" s="1"/>
      <c r="AJ37" s="1"/>
      <c r="AK37" s="1"/>
      <c r="AL37" s="1"/>
    </row>
    <row r="38" spans="1:38" ht="17.25" customHeight="1" x14ac:dyDescent="0.25">
      <c r="C38" s="2"/>
      <c r="D38" s="2"/>
      <c r="E38" s="1"/>
      <c r="F38" s="1"/>
      <c r="AF38" s="1"/>
      <c r="AG38" s="1"/>
      <c r="AH38" s="1"/>
      <c r="AI38" s="1"/>
      <c r="AJ38" s="1"/>
      <c r="AK38" s="1"/>
      <c r="AL38" s="1"/>
    </row>
    <row r="39" spans="1:38" ht="17.25" customHeight="1" x14ac:dyDescent="0.25">
      <c r="A39" s="1" t="s">
        <v>3</v>
      </c>
      <c r="B39" s="1" t="s">
        <v>17</v>
      </c>
      <c r="C39" s="2"/>
      <c r="D39" s="2">
        <v>1</v>
      </c>
      <c r="E39" s="1"/>
      <c r="F39" s="1"/>
      <c r="AF39" s="1"/>
      <c r="AG39" s="1"/>
      <c r="AH39" s="1"/>
      <c r="AI39" s="1"/>
      <c r="AJ39" s="1"/>
      <c r="AK39" s="1"/>
      <c r="AL39" s="1"/>
    </row>
    <row r="40" spans="1:38" ht="17.25" customHeight="1" x14ac:dyDescent="0.25">
      <c r="A40" s="1" t="s">
        <v>32</v>
      </c>
      <c r="B40" s="1" t="s">
        <v>17</v>
      </c>
      <c r="C40" s="2"/>
      <c r="D40" s="2">
        <v>2</v>
      </c>
      <c r="E40" s="1"/>
      <c r="F40" s="1"/>
      <c r="AF40" s="1"/>
      <c r="AG40" s="1"/>
      <c r="AH40" s="1"/>
      <c r="AI40" s="1"/>
      <c r="AJ40" s="1"/>
      <c r="AK40" s="1"/>
      <c r="AL40" s="1"/>
    </row>
    <row r="41" spans="1:38" ht="17.25" customHeight="1" x14ac:dyDescent="0.25">
      <c r="A41" s="1" t="s">
        <v>30</v>
      </c>
      <c r="B41" s="1" t="s">
        <v>17</v>
      </c>
      <c r="C41" s="2" t="s">
        <v>10</v>
      </c>
      <c r="D41" s="6">
        <v>7</v>
      </c>
      <c r="E41" s="1"/>
      <c r="F41" s="1"/>
      <c r="AF41" s="1"/>
      <c r="AG41" s="1"/>
      <c r="AH41" s="1"/>
      <c r="AI41" s="1"/>
      <c r="AJ41" s="1"/>
      <c r="AK41" s="1"/>
      <c r="AL41" s="1"/>
    </row>
    <row r="42" spans="1:38" ht="33.75" customHeight="1" x14ac:dyDescent="0.25">
      <c r="A42" s="12" t="s">
        <v>115</v>
      </c>
      <c r="B42" s="1" t="s">
        <v>17</v>
      </c>
      <c r="C42" s="2" t="s">
        <v>14</v>
      </c>
      <c r="D42" s="5">
        <v>11</v>
      </c>
      <c r="E42" s="24" t="s">
        <v>89</v>
      </c>
      <c r="F42" s="1"/>
      <c r="AF42" s="1"/>
      <c r="AG42" s="1"/>
      <c r="AH42" s="1"/>
      <c r="AI42" s="1"/>
      <c r="AJ42" s="1"/>
      <c r="AK42" s="1"/>
      <c r="AL42" s="1"/>
    </row>
    <row r="43" spans="1:38" ht="17.25" customHeight="1" x14ac:dyDescent="0.25">
      <c r="A43" s="32" t="s">
        <v>1</v>
      </c>
      <c r="B43" s="32" t="s">
        <v>94</v>
      </c>
      <c r="C43" s="33" t="s">
        <v>13</v>
      </c>
      <c r="D43" s="34">
        <f>+D17*0.86/D41/D40</f>
        <v>218.50142857142856</v>
      </c>
      <c r="E43" s="1"/>
      <c r="F43" s="32" t="s">
        <v>101</v>
      </c>
      <c r="G43" s="32"/>
      <c r="AF43" s="1"/>
      <c r="AG43" s="1"/>
      <c r="AH43" s="1"/>
      <c r="AI43" s="1"/>
      <c r="AJ43" s="1"/>
      <c r="AK43" s="1"/>
      <c r="AL43" s="1"/>
    </row>
    <row r="44" spans="1:38" ht="17.25" customHeight="1" x14ac:dyDescent="0.25">
      <c r="A44" s="1" t="s">
        <v>96</v>
      </c>
      <c r="B44" s="1" t="s">
        <v>17</v>
      </c>
      <c r="C44" s="2" t="s">
        <v>14</v>
      </c>
      <c r="D44" s="2">
        <v>23</v>
      </c>
      <c r="E44" s="24" t="s">
        <v>89</v>
      </c>
      <c r="F44" s="1"/>
      <c r="AF44" s="1"/>
      <c r="AG44" s="1"/>
      <c r="AH44" s="1"/>
      <c r="AI44" s="1"/>
      <c r="AJ44" s="1"/>
      <c r="AK44" s="1"/>
      <c r="AL44" s="1"/>
    </row>
    <row r="45" spans="1:38" ht="17.25" customHeight="1" x14ac:dyDescent="0.25">
      <c r="A45" s="1" t="s">
        <v>97</v>
      </c>
      <c r="B45" s="1" t="s">
        <v>17</v>
      </c>
      <c r="C45" s="2" t="s">
        <v>11</v>
      </c>
      <c r="D45" s="2">
        <v>83.5</v>
      </c>
      <c r="E45" s="24" t="s">
        <v>89</v>
      </c>
      <c r="F45" s="1"/>
      <c r="AF45" s="1"/>
      <c r="AG45" s="1"/>
      <c r="AH45" s="1"/>
      <c r="AI45" s="1"/>
      <c r="AJ45" s="1"/>
      <c r="AK45" s="1"/>
      <c r="AL45" s="1"/>
    </row>
    <row r="46" spans="1:38" ht="17.25" customHeight="1" x14ac:dyDescent="0.25">
      <c r="A46" s="32" t="s">
        <v>87</v>
      </c>
      <c r="B46" s="32" t="s">
        <v>20</v>
      </c>
      <c r="C46" s="33" t="s">
        <v>12</v>
      </c>
      <c r="D46" s="34">
        <f>+D43*D44/3.6/D45</f>
        <v>16.718339511453284</v>
      </c>
      <c r="E46" s="1"/>
      <c r="F46" s="1"/>
      <c r="AF46" s="1"/>
      <c r="AG46" s="1"/>
      <c r="AH46" s="1"/>
      <c r="AI46" s="1"/>
      <c r="AJ46" s="1"/>
      <c r="AK46" s="1"/>
      <c r="AL46" s="1"/>
    </row>
    <row r="47" spans="1:38" ht="17.25" customHeight="1" x14ac:dyDescent="0.25">
      <c r="A47" s="1" t="s">
        <v>86</v>
      </c>
      <c r="B47" s="1" t="s">
        <v>17</v>
      </c>
      <c r="C47" s="2" t="s">
        <v>12</v>
      </c>
      <c r="D47" s="5">
        <v>18.5</v>
      </c>
      <c r="E47" s="1"/>
      <c r="F47" s="32" t="s">
        <v>102</v>
      </c>
      <c r="G47" s="32"/>
      <c r="H47" s="32"/>
      <c r="I47" s="32"/>
      <c r="AF47" s="1"/>
      <c r="AG47" s="1"/>
      <c r="AH47" s="1"/>
      <c r="AI47" s="1"/>
      <c r="AJ47" s="1"/>
      <c r="AK47" s="1"/>
      <c r="AL47" s="1"/>
    </row>
    <row r="48" spans="1:38" ht="17.25" customHeight="1" x14ac:dyDescent="0.25">
      <c r="C48" s="2"/>
      <c r="D48" s="5"/>
      <c r="E48" s="1"/>
      <c r="F48" s="1"/>
      <c r="AF48" s="1"/>
      <c r="AG48" s="1"/>
      <c r="AH48" s="1"/>
      <c r="AI48" s="1"/>
      <c r="AJ48" s="1"/>
      <c r="AK48" s="1"/>
      <c r="AL48" s="1"/>
    </row>
    <row r="49" spans="1:38" ht="17.25" customHeight="1" x14ac:dyDescent="0.25">
      <c r="C49" s="2"/>
      <c r="D49" s="2"/>
      <c r="E49" s="1"/>
      <c r="F49" s="1"/>
      <c r="AF49" s="1"/>
      <c r="AG49" s="1"/>
      <c r="AH49" s="1"/>
      <c r="AI49" s="1"/>
      <c r="AJ49" s="1"/>
      <c r="AK49" s="1"/>
      <c r="AL49" s="1"/>
    </row>
    <row r="50" spans="1:38" ht="17.25" customHeight="1" x14ac:dyDescent="0.25">
      <c r="A50" s="1" t="s">
        <v>33</v>
      </c>
      <c r="B50" s="1" t="s">
        <v>17</v>
      </c>
      <c r="C50" s="2"/>
      <c r="D50" s="2">
        <f>+D20</f>
        <v>2</v>
      </c>
      <c r="E50" s="24" t="s">
        <v>99</v>
      </c>
      <c r="F50" s="9" t="s">
        <v>100</v>
      </c>
      <c r="AF50" s="1"/>
      <c r="AG50" s="1"/>
      <c r="AH50" s="1"/>
      <c r="AI50" s="1"/>
      <c r="AJ50" s="1"/>
      <c r="AK50" s="1"/>
      <c r="AL50" s="1"/>
    </row>
    <row r="51" spans="1:38" ht="17.25" customHeight="1" x14ac:dyDescent="0.25">
      <c r="A51" s="1" t="s">
        <v>31</v>
      </c>
      <c r="B51" s="1" t="s">
        <v>17</v>
      </c>
      <c r="C51" s="2" t="s">
        <v>10</v>
      </c>
      <c r="D51" s="6">
        <v>7</v>
      </c>
      <c r="E51" s="1"/>
      <c r="F51" s="1"/>
      <c r="AF51" s="1"/>
      <c r="AG51" s="1"/>
      <c r="AH51" s="1"/>
      <c r="AI51" s="1"/>
      <c r="AJ51" s="1"/>
      <c r="AK51" s="1"/>
      <c r="AL51" s="1"/>
    </row>
    <row r="52" spans="1:38" ht="17.25" customHeight="1" x14ac:dyDescent="0.25">
      <c r="A52" s="1" t="s">
        <v>53</v>
      </c>
      <c r="B52" s="1" t="s">
        <v>17</v>
      </c>
      <c r="C52" s="2" t="s">
        <v>14</v>
      </c>
      <c r="D52" s="6">
        <v>5.5</v>
      </c>
      <c r="E52" s="24" t="s">
        <v>89</v>
      </c>
    </row>
    <row r="53" spans="1:38" ht="17.25" customHeight="1" x14ac:dyDescent="0.25">
      <c r="A53" s="32" t="s">
        <v>1</v>
      </c>
      <c r="B53" s="32" t="s">
        <v>94</v>
      </c>
      <c r="C53" s="33" t="s">
        <v>13</v>
      </c>
      <c r="D53" s="34">
        <f>+D22*(1+1/D25)*0.86/D51*D20/D50</f>
        <v>265.05726564683965</v>
      </c>
      <c r="F53" s="32" t="s">
        <v>101</v>
      </c>
      <c r="G53" s="32"/>
    </row>
    <row r="54" spans="1:38" ht="17.25" customHeight="1" x14ac:dyDescent="0.25">
      <c r="A54" s="1" t="s">
        <v>96</v>
      </c>
      <c r="B54" s="1" t="s">
        <v>17</v>
      </c>
      <c r="C54" s="2" t="s">
        <v>14</v>
      </c>
      <c r="D54" s="2">
        <v>17</v>
      </c>
      <c r="E54" s="24" t="s">
        <v>89</v>
      </c>
    </row>
    <row r="55" spans="1:38" ht="17.25" customHeight="1" x14ac:dyDescent="0.25">
      <c r="A55" s="1" t="s">
        <v>97</v>
      </c>
      <c r="B55" s="1" t="s">
        <v>17</v>
      </c>
      <c r="C55" s="2" t="s">
        <v>11</v>
      </c>
      <c r="D55" s="9">
        <v>83.9</v>
      </c>
      <c r="E55" s="24" t="s">
        <v>89</v>
      </c>
    </row>
    <row r="56" spans="1:38" ht="17.25" customHeight="1" x14ac:dyDescent="0.25">
      <c r="A56" s="32" t="s">
        <v>87</v>
      </c>
      <c r="B56" s="32" t="s">
        <v>20</v>
      </c>
      <c r="C56" s="33" t="s">
        <v>12</v>
      </c>
      <c r="D56" s="34">
        <f>+D53*D54/3.6/D55</f>
        <v>14.918466150166447</v>
      </c>
    </row>
    <row r="57" spans="1:38" ht="17.25" customHeight="1" x14ac:dyDescent="0.25">
      <c r="A57" s="1" t="s">
        <v>86</v>
      </c>
      <c r="B57" s="1" t="s">
        <v>17</v>
      </c>
      <c r="C57" s="2" t="s">
        <v>12</v>
      </c>
      <c r="D57" s="5">
        <v>15</v>
      </c>
      <c r="F57" s="32" t="s">
        <v>102</v>
      </c>
      <c r="G57" s="32"/>
      <c r="H57" s="32"/>
      <c r="I57" s="32"/>
      <c r="AF57" s="19"/>
      <c r="AG57" s="19"/>
      <c r="AH57" s="19"/>
      <c r="AI57" s="19"/>
      <c r="AJ57" s="20"/>
      <c r="AK57" s="20"/>
      <c r="AL57" s="20"/>
    </row>
    <row r="58" spans="1:38" ht="17.25" customHeight="1" x14ac:dyDescent="0.25">
      <c r="A58" s="1" t="s">
        <v>52</v>
      </c>
      <c r="B58" s="1" t="s">
        <v>17</v>
      </c>
      <c r="C58" s="2" t="s">
        <v>51</v>
      </c>
      <c r="D58" s="5" t="s">
        <v>59</v>
      </c>
      <c r="E58" s="24" t="s">
        <v>89</v>
      </c>
      <c r="AF58" s="19"/>
      <c r="AG58" s="19"/>
      <c r="AH58" s="19"/>
      <c r="AI58" s="19"/>
      <c r="AJ58" s="20"/>
      <c r="AK58" s="20"/>
      <c r="AL58" s="20"/>
    </row>
    <row r="59" spans="1:38" ht="17.25" customHeight="1" x14ac:dyDescent="0.25">
      <c r="A59" s="1" t="s">
        <v>35</v>
      </c>
      <c r="B59" s="1" t="s">
        <v>17</v>
      </c>
      <c r="C59" s="2" t="s">
        <v>36</v>
      </c>
      <c r="D59" s="5" t="s">
        <v>37</v>
      </c>
      <c r="E59" s="24" t="s">
        <v>89</v>
      </c>
      <c r="H59" s="10"/>
      <c r="AF59" s="19"/>
      <c r="AG59" s="19"/>
      <c r="AH59" s="19"/>
      <c r="AI59" s="19"/>
      <c r="AJ59" s="20"/>
      <c r="AK59" s="20"/>
      <c r="AL59" s="20"/>
    </row>
    <row r="60" spans="1:38" ht="17.25" customHeight="1" x14ac:dyDescent="0.25">
      <c r="A60" s="1" t="s">
        <v>50</v>
      </c>
      <c r="B60" s="1" t="s">
        <v>17</v>
      </c>
      <c r="C60" s="2" t="s">
        <v>36</v>
      </c>
      <c r="D60" s="5" t="s">
        <v>58</v>
      </c>
      <c r="E60" s="24" t="s">
        <v>89</v>
      </c>
      <c r="AF60" s="19"/>
      <c r="AG60" s="19"/>
      <c r="AH60" s="19"/>
      <c r="AI60" s="19"/>
      <c r="AJ60" s="20"/>
      <c r="AK60" s="20"/>
      <c r="AL60" s="20"/>
    </row>
    <row r="61" spans="1:38" ht="17.25" customHeight="1" x14ac:dyDescent="0.25">
      <c r="C61" s="2"/>
      <c r="D61" s="2"/>
      <c r="H61" s="16"/>
      <c r="AF61" s="19"/>
      <c r="AG61" s="19"/>
      <c r="AH61" s="19"/>
      <c r="AI61" s="19"/>
      <c r="AJ61" s="19"/>
      <c r="AK61" s="19"/>
      <c r="AL61" s="19"/>
    </row>
    <row r="62" spans="1:38" ht="17.25" customHeight="1" x14ac:dyDescent="0.25">
      <c r="A62" s="1" t="s">
        <v>4</v>
      </c>
      <c r="B62" s="1" t="s">
        <v>17</v>
      </c>
      <c r="C62" s="2"/>
      <c r="D62" s="2">
        <f>+D20</f>
        <v>2</v>
      </c>
      <c r="E62" s="24" t="s">
        <v>99</v>
      </c>
      <c r="F62" s="9" t="s">
        <v>100</v>
      </c>
      <c r="AF62" s="19"/>
      <c r="AG62" s="19"/>
      <c r="AH62" s="19"/>
      <c r="AI62" s="19"/>
      <c r="AJ62" s="19"/>
      <c r="AK62" s="19"/>
      <c r="AL62" s="19"/>
    </row>
    <row r="63" spans="1:38" ht="17.25" customHeight="1" x14ac:dyDescent="0.25">
      <c r="A63" s="32" t="s">
        <v>1</v>
      </c>
      <c r="B63" s="32" t="s">
        <v>94</v>
      </c>
      <c r="C63" s="33" t="s">
        <v>13</v>
      </c>
      <c r="D63" s="34">
        <f>+D53*D50/D62</f>
        <v>265.05726564683965</v>
      </c>
      <c r="F63" s="32" t="s">
        <v>101</v>
      </c>
      <c r="G63" s="32"/>
      <c r="AF63" s="19"/>
      <c r="AG63" s="19"/>
      <c r="AH63" s="19"/>
      <c r="AI63" s="19"/>
      <c r="AJ63" s="20"/>
      <c r="AK63" s="20"/>
      <c r="AL63" s="20"/>
    </row>
    <row r="64" spans="1:38" ht="17.25" customHeight="1" x14ac:dyDescent="0.25">
      <c r="A64" s="32" t="s">
        <v>98</v>
      </c>
      <c r="B64" s="32" t="s">
        <v>20</v>
      </c>
      <c r="C64" s="33" t="s">
        <v>70</v>
      </c>
      <c r="D64" s="34">
        <f>+D63*D51/0.86/(D51/LN((D51+D66)/D66))</f>
        <v>311.78159485505586</v>
      </c>
      <c r="E64" s="9"/>
      <c r="F64" s="9"/>
      <c r="AF64" s="19"/>
      <c r="AG64" s="19"/>
      <c r="AH64" s="21"/>
      <c r="AI64" s="19"/>
      <c r="AJ64" s="19"/>
      <c r="AK64" s="19"/>
      <c r="AL64" s="19"/>
    </row>
    <row r="65" spans="1:38" ht="17.25" customHeight="1" x14ac:dyDescent="0.25">
      <c r="A65" s="1" t="s">
        <v>86</v>
      </c>
      <c r="B65" s="1" t="s">
        <v>17</v>
      </c>
      <c r="C65" s="2" t="s">
        <v>12</v>
      </c>
      <c r="D65" s="5">
        <v>9.1999999999999993</v>
      </c>
      <c r="AF65" s="19"/>
      <c r="AG65" s="19"/>
      <c r="AH65" s="21"/>
      <c r="AI65" s="19"/>
      <c r="AJ65" s="19"/>
      <c r="AK65" s="19"/>
      <c r="AL65" s="19"/>
    </row>
    <row r="66" spans="1:38" ht="17.25" customHeight="1" x14ac:dyDescent="0.25">
      <c r="A66" s="1" t="s">
        <v>66</v>
      </c>
      <c r="B66" s="1" t="s">
        <v>17</v>
      </c>
      <c r="C66" s="2" t="s">
        <v>10</v>
      </c>
      <c r="D66" s="5">
        <v>4</v>
      </c>
      <c r="E66" s="24" t="s">
        <v>89</v>
      </c>
      <c r="AF66" s="19"/>
      <c r="AG66" s="19"/>
      <c r="AH66" s="19"/>
      <c r="AI66" s="19"/>
      <c r="AJ66" s="19"/>
      <c r="AK66" s="19"/>
      <c r="AL66" s="19"/>
    </row>
    <row r="67" spans="1:38" ht="17.25" customHeight="1" x14ac:dyDescent="0.25">
      <c r="A67" s="1" t="s">
        <v>35</v>
      </c>
      <c r="B67" s="1" t="s">
        <v>17</v>
      </c>
      <c r="C67" s="2" t="s">
        <v>36</v>
      </c>
      <c r="D67" s="5" t="s">
        <v>37</v>
      </c>
      <c r="E67" s="24" t="s">
        <v>89</v>
      </c>
      <c r="AF67" s="19"/>
      <c r="AG67" s="19"/>
      <c r="AH67" s="19"/>
      <c r="AI67" s="19"/>
      <c r="AJ67" s="19"/>
      <c r="AK67" s="19"/>
      <c r="AL67" s="19"/>
    </row>
    <row r="68" spans="1:38" ht="17.25" customHeight="1" x14ac:dyDescent="0.25">
      <c r="A68" s="1" t="s">
        <v>75</v>
      </c>
      <c r="B68" s="1" t="s">
        <v>17</v>
      </c>
      <c r="C68" s="2" t="s">
        <v>36</v>
      </c>
      <c r="D68" s="5" t="s">
        <v>37</v>
      </c>
      <c r="E68" s="24" t="s">
        <v>89</v>
      </c>
      <c r="AF68" s="19"/>
      <c r="AG68" s="19"/>
      <c r="AH68" s="19"/>
      <c r="AI68" s="19"/>
      <c r="AJ68" s="19"/>
      <c r="AK68" s="19"/>
      <c r="AL68" s="19"/>
    </row>
    <row r="69" spans="1:38" ht="17.25" customHeight="1" x14ac:dyDescent="0.25">
      <c r="AF69" s="19"/>
      <c r="AG69" s="19"/>
      <c r="AH69" s="19"/>
      <c r="AI69" s="19"/>
      <c r="AJ69" s="19"/>
      <c r="AK69" s="19"/>
      <c r="AL69" s="19"/>
    </row>
    <row r="70" spans="1:38" ht="49.5" customHeight="1" x14ac:dyDescent="0.25">
      <c r="A70" s="69" t="s">
        <v>116</v>
      </c>
      <c r="B70" s="50" t="s">
        <v>117</v>
      </c>
      <c r="C70" s="60" t="s">
        <v>118</v>
      </c>
      <c r="D70" s="50" t="s">
        <v>39</v>
      </c>
      <c r="E70" s="50" t="s">
        <v>119</v>
      </c>
      <c r="F70" s="60" t="s">
        <v>120</v>
      </c>
      <c r="G70" s="60" t="s">
        <v>131</v>
      </c>
      <c r="H70" s="60" t="s">
        <v>121</v>
      </c>
      <c r="I70" s="60" t="s">
        <v>122</v>
      </c>
      <c r="L70" s="71" t="s">
        <v>121</v>
      </c>
      <c r="M70" s="72"/>
      <c r="AF70" s="19"/>
      <c r="AG70" s="19"/>
      <c r="AH70" s="19"/>
      <c r="AI70" s="19"/>
      <c r="AJ70" s="19"/>
      <c r="AK70" s="19"/>
      <c r="AL70" s="19"/>
    </row>
    <row r="71" spans="1:38" ht="17.25" customHeight="1" x14ac:dyDescent="0.25">
      <c r="A71" s="70"/>
      <c r="B71" s="50" t="s">
        <v>12</v>
      </c>
      <c r="C71" s="50" t="s">
        <v>12</v>
      </c>
      <c r="D71" s="61"/>
      <c r="E71" s="50" t="s">
        <v>123</v>
      </c>
      <c r="F71" s="50" t="s">
        <v>12</v>
      </c>
      <c r="G71" s="50" t="s">
        <v>12</v>
      </c>
      <c r="H71" s="50" t="s">
        <v>12</v>
      </c>
      <c r="I71" s="50" t="s">
        <v>12</v>
      </c>
      <c r="L71" s="33" t="s">
        <v>124</v>
      </c>
      <c r="M71" s="33" t="s">
        <v>125</v>
      </c>
      <c r="AF71" s="19"/>
      <c r="AG71" s="19"/>
      <c r="AH71" s="19"/>
      <c r="AI71" s="19"/>
      <c r="AJ71" s="19"/>
      <c r="AK71" s="19"/>
      <c r="AL71" s="19"/>
    </row>
    <row r="72" spans="1:38" ht="17.25" customHeight="1" x14ac:dyDescent="0.25">
      <c r="A72" s="61" t="s">
        <v>126</v>
      </c>
      <c r="B72" s="62">
        <v>136.5</v>
      </c>
      <c r="C72" s="63">
        <v>7.37</v>
      </c>
      <c r="D72" s="50">
        <v>13</v>
      </c>
      <c r="E72" s="50" t="s">
        <v>124</v>
      </c>
      <c r="F72" s="62">
        <f t="shared" ref="F72:F86" si="0">+B72*D72</f>
        <v>1774.5</v>
      </c>
      <c r="G72" s="62">
        <f t="shared" ref="G72:G86" si="1">+C72*D72</f>
        <v>95.81</v>
      </c>
      <c r="H72" s="62">
        <f t="shared" ref="H72" si="2">(L72+($D$17-$L$87)/$M$87*M72)</f>
        <v>1774.5</v>
      </c>
      <c r="I72" s="62">
        <f t="shared" ref="I72:I78" si="3">IF(G72=0,0,(H72/F72)^2*G72)</f>
        <v>95.81</v>
      </c>
      <c r="L72" s="64">
        <f>IF(E72="O",F72,0)</f>
        <v>1774.5</v>
      </c>
      <c r="M72" s="64">
        <f t="shared" ref="M72" si="4">IF(E72="L",F72,0)</f>
        <v>0</v>
      </c>
      <c r="AF72" s="19"/>
      <c r="AG72" s="19"/>
      <c r="AH72" s="19"/>
      <c r="AI72" s="19"/>
      <c r="AJ72" s="19"/>
      <c r="AK72" s="19"/>
      <c r="AL72" s="19"/>
    </row>
    <row r="73" spans="1:38" ht="17.25" customHeight="1" x14ac:dyDescent="0.25">
      <c r="A73" s="61" t="s">
        <v>126</v>
      </c>
      <c r="B73" s="62">
        <v>109</v>
      </c>
      <c r="C73" s="63">
        <v>6.11</v>
      </c>
      <c r="D73" s="50">
        <v>13</v>
      </c>
      <c r="E73" s="50" t="s">
        <v>125</v>
      </c>
      <c r="F73" s="62">
        <f t="shared" si="0"/>
        <v>1417</v>
      </c>
      <c r="G73" s="62">
        <f t="shared" si="1"/>
        <v>79.430000000000007</v>
      </c>
      <c r="H73" s="62">
        <f>(L73+($D$17-$L$87)/$M$87*M73)</f>
        <v>1122.8996336996336</v>
      </c>
      <c r="I73" s="62">
        <f t="shared" si="3"/>
        <v>49.880034177300097</v>
      </c>
      <c r="L73" s="64">
        <f t="shared" ref="L73:L86" si="5">IF(E73="O",F73,0)</f>
        <v>0</v>
      </c>
      <c r="M73" s="64">
        <f>IF(E73="L",F73,0)</f>
        <v>1417</v>
      </c>
      <c r="N73" s="10"/>
      <c r="AF73" s="19"/>
      <c r="AG73" s="19"/>
      <c r="AH73" s="19"/>
      <c r="AI73" s="19"/>
      <c r="AJ73" s="19"/>
      <c r="AK73" s="19"/>
      <c r="AL73" s="19"/>
    </row>
    <row r="74" spans="1:38" ht="17.25" customHeight="1" x14ac:dyDescent="0.25">
      <c r="A74" s="61" t="s">
        <v>138</v>
      </c>
      <c r="B74" s="62">
        <v>69.7</v>
      </c>
      <c r="C74" s="63">
        <v>3.53</v>
      </c>
      <c r="D74" s="50">
        <v>1</v>
      </c>
      <c r="E74" s="50" t="s">
        <v>124</v>
      </c>
      <c r="F74" s="62">
        <f t="shared" si="0"/>
        <v>69.7</v>
      </c>
      <c r="G74" s="62">
        <f t="shared" si="1"/>
        <v>3.53</v>
      </c>
      <c r="H74" s="62">
        <f t="shared" ref="H74:H86" si="6">(L74+($D$17-$L$87)/$M$87*M74)</f>
        <v>69.7</v>
      </c>
      <c r="I74" s="62">
        <f t="shared" si="3"/>
        <v>3.53</v>
      </c>
      <c r="L74" s="64">
        <f t="shared" si="5"/>
        <v>69.7</v>
      </c>
      <c r="M74" s="64">
        <f t="shared" ref="M74:M86" si="7">IF(E74="L",F74,0)</f>
        <v>0</v>
      </c>
      <c r="AF74" s="19"/>
      <c r="AG74" s="19"/>
      <c r="AH74" s="19"/>
      <c r="AI74" s="19"/>
      <c r="AJ74" s="19"/>
      <c r="AK74" s="19"/>
      <c r="AL74" s="19"/>
    </row>
    <row r="75" spans="1:38" ht="17.25" customHeight="1" x14ac:dyDescent="0.25">
      <c r="A75" s="61" t="s">
        <v>127</v>
      </c>
      <c r="B75" s="62">
        <v>98.2</v>
      </c>
      <c r="C75" s="63">
        <v>5.41</v>
      </c>
      <c r="D75" s="50">
        <v>1</v>
      </c>
      <c r="E75" s="50" t="s">
        <v>124</v>
      </c>
      <c r="F75" s="62">
        <f t="shared" si="0"/>
        <v>98.2</v>
      </c>
      <c r="G75" s="62">
        <f t="shared" si="1"/>
        <v>5.41</v>
      </c>
      <c r="H75" s="62">
        <f t="shared" si="6"/>
        <v>98.2</v>
      </c>
      <c r="I75" s="62">
        <f t="shared" si="3"/>
        <v>5.41</v>
      </c>
      <c r="L75" s="64">
        <f t="shared" si="5"/>
        <v>98.2</v>
      </c>
      <c r="M75" s="64">
        <f t="shared" si="7"/>
        <v>0</v>
      </c>
      <c r="AF75" s="19"/>
      <c r="AG75" s="19"/>
      <c r="AH75" s="19"/>
      <c r="AI75" s="19"/>
      <c r="AJ75" s="19"/>
      <c r="AK75" s="19"/>
      <c r="AL75" s="19"/>
    </row>
    <row r="76" spans="1:38" ht="17.25" customHeight="1" x14ac:dyDescent="0.25">
      <c r="A76" s="61" t="s">
        <v>127</v>
      </c>
      <c r="B76" s="62">
        <v>71.5</v>
      </c>
      <c r="C76" s="63">
        <v>4.01</v>
      </c>
      <c r="D76" s="50">
        <v>5</v>
      </c>
      <c r="E76" s="50" t="s">
        <v>125</v>
      </c>
      <c r="F76" s="62">
        <f t="shared" si="0"/>
        <v>357.5</v>
      </c>
      <c r="G76" s="62">
        <f t="shared" si="1"/>
        <v>20.049999999999997</v>
      </c>
      <c r="H76" s="62">
        <f t="shared" si="6"/>
        <v>283.30036630036625</v>
      </c>
      <c r="I76" s="62">
        <f t="shared" si="3"/>
        <v>12.59089368317848</v>
      </c>
      <c r="L76" s="64">
        <f t="shared" si="5"/>
        <v>0</v>
      </c>
      <c r="M76" s="64">
        <f t="shared" si="7"/>
        <v>357.5</v>
      </c>
      <c r="AF76" s="19"/>
      <c r="AG76" s="19"/>
      <c r="AH76" s="19"/>
      <c r="AI76" s="19"/>
      <c r="AJ76" s="19"/>
      <c r="AK76" s="19"/>
      <c r="AL76" s="19"/>
    </row>
    <row r="77" spans="1:38" ht="17.25" customHeight="1" x14ac:dyDescent="0.25">
      <c r="A77" s="61" t="s">
        <v>127</v>
      </c>
      <c r="B77" s="62">
        <v>18.2</v>
      </c>
      <c r="C77" s="63">
        <v>0.89</v>
      </c>
      <c r="D77" s="50">
        <v>7</v>
      </c>
      <c r="E77" s="50" t="s">
        <v>124</v>
      </c>
      <c r="F77" s="62">
        <f t="shared" si="0"/>
        <v>127.39999999999999</v>
      </c>
      <c r="G77" s="62">
        <f t="shared" si="1"/>
        <v>6.23</v>
      </c>
      <c r="H77" s="62">
        <f t="shared" si="6"/>
        <v>127.39999999999999</v>
      </c>
      <c r="I77" s="62">
        <f t="shared" si="3"/>
        <v>6.23</v>
      </c>
      <c r="L77" s="64">
        <f t="shared" si="5"/>
        <v>127.39999999999999</v>
      </c>
      <c r="M77" s="64">
        <f t="shared" si="7"/>
        <v>0</v>
      </c>
      <c r="AF77" s="19"/>
      <c r="AG77" s="19"/>
      <c r="AH77" s="19"/>
      <c r="AI77" s="19"/>
      <c r="AJ77" s="19"/>
      <c r="AK77" s="19"/>
      <c r="AL77" s="19"/>
    </row>
    <row r="78" spans="1:38" ht="17.25" customHeight="1" x14ac:dyDescent="0.25">
      <c r="A78" s="61" t="s">
        <v>127</v>
      </c>
      <c r="B78" s="62">
        <v>27</v>
      </c>
      <c r="C78" s="63">
        <v>1.33</v>
      </c>
      <c r="D78" s="50">
        <v>3</v>
      </c>
      <c r="E78" s="50" t="s">
        <v>124</v>
      </c>
      <c r="F78" s="62">
        <f t="shared" si="0"/>
        <v>81</v>
      </c>
      <c r="G78" s="62">
        <f t="shared" si="1"/>
        <v>3.99</v>
      </c>
      <c r="H78" s="62">
        <f t="shared" si="6"/>
        <v>81</v>
      </c>
      <c r="I78" s="62">
        <f t="shared" si="3"/>
        <v>3.99</v>
      </c>
      <c r="L78" s="64">
        <f t="shared" si="5"/>
        <v>81</v>
      </c>
      <c r="M78" s="64">
        <f t="shared" si="7"/>
        <v>0</v>
      </c>
      <c r="AF78" s="19"/>
      <c r="AG78" s="19"/>
      <c r="AH78" s="19"/>
      <c r="AI78" s="19"/>
      <c r="AJ78" s="19"/>
      <c r="AK78" s="19"/>
      <c r="AL78" s="19"/>
    </row>
    <row r="79" spans="1:38" ht="17.25" customHeight="1" x14ac:dyDescent="0.25">
      <c r="A79" s="61" t="s">
        <v>127</v>
      </c>
      <c r="B79" s="62"/>
      <c r="C79" s="63"/>
      <c r="D79" s="50"/>
      <c r="E79" s="50"/>
      <c r="F79" s="62">
        <f t="shared" si="0"/>
        <v>0</v>
      </c>
      <c r="G79" s="62">
        <f t="shared" si="1"/>
        <v>0</v>
      </c>
      <c r="H79" s="62">
        <f t="shared" si="6"/>
        <v>0</v>
      </c>
      <c r="I79" s="62">
        <f>IF(G79=0,0,(H79/F79)^2*G79)</f>
        <v>0</v>
      </c>
      <c r="L79" s="64">
        <f t="shared" si="5"/>
        <v>0</v>
      </c>
      <c r="M79" s="64">
        <f t="shared" si="7"/>
        <v>0</v>
      </c>
      <c r="AF79" s="19"/>
      <c r="AG79" s="19"/>
      <c r="AH79" s="19"/>
      <c r="AI79" s="19"/>
      <c r="AJ79" s="19"/>
      <c r="AK79" s="19"/>
      <c r="AL79" s="19"/>
    </row>
    <row r="80" spans="1:38" ht="17.25" customHeight="1" x14ac:dyDescent="0.25">
      <c r="A80" s="61" t="s">
        <v>127</v>
      </c>
      <c r="B80" s="62"/>
      <c r="C80" s="63"/>
      <c r="D80" s="50"/>
      <c r="E80" s="50"/>
      <c r="F80" s="62">
        <f t="shared" si="0"/>
        <v>0</v>
      </c>
      <c r="G80" s="62">
        <f t="shared" si="1"/>
        <v>0</v>
      </c>
      <c r="H80" s="62">
        <f t="shared" si="6"/>
        <v>0</v>
      </c>
      <c r="I80" s="62">
        <f t="shared" ref="I80:I86" si="8">IF(G80=0,0,(H80/F80)^2*G80)</f>
        <v>0</v>
      </c>
      <c r="L80" s="64">
        <f t="shared" si="5"/>
        <v>0</v>
      </c>
      <c r="M80" s="64">
        <f t="shared" si="7"/>
        <v>0</v>
      </c>
      <c r="AF80" s="19"/>
      <c r="AG80" s="19"/>
      <c r="AH80" s="19"/>
      <c r="AI80" s="19"/>
      <c r="AJ80" s="19"/>
      <c r="AK80" s="19"/>
      <c r="AL80" s="19"/>
    </row>
    <row r="81" spans="1:52" ht="17.25" customHeight="1" x14ac:dyDescent="0.25">
      <c r="A81" s="61" t="s">
        <v>127</v>
      </c>
      <c r="B81" s="62"/>
      <c r="C81" s="63"/>
      <c r="D81" s="50"/>
      <c r="E81" s="50"/>
      <c r="F81" s="62">
        <f t="shared" si="0"/>
        <v>0</v>
      </c>
      <c r="G81" s="62">
        <f t="shared" si="1"/>
        <v>0</v>
      </c>
      <c r="H81" s="62">
        <f t="shared" si="6"/>
        <v>0</v>
      </c>
      <c r="I81" s="62">
        <f t="shared" si="8"/>
        <v>0</v>
      </c>
      <c r="L81" s="64">
        <f t="shared" si="5"/>
        <v>0</v>
      </c>
      <c r="M81" s="64">
        <f t="shared" si="7"/>
        <v>0</v>
      </c>
      <c r="AF81" s="19"/>
      <c r="AG81" s="19"/>
      <c r="AH81" s="19"/>
      <c r="AI81" s="19"/>
      <c r="AJ81" s="19"/>
      <c r="AK81" s="19"/>
      <c r="AL81" s="19"/>
    </row>
    <row r="82" spans="1:52" ht="17.25" customHeight="1" x14ac:dyDescent="0.25">
      <c r="A82" s="61" t="s">
        <v>127</v>
      </c>
      <c r="B82" s="62"/>
      <c r="C82" s="63"/>
      <c r="D82" s="50"/>
      <c r="E82" s="50"/>
      <c r="F82" s="62">
        <f t="shared" si="0"/>
        <v>0</v>
      </c>
      <c r="G82" s="62">
        <f t="shared" si="1"/>
        <v>0</v>
      </c>
      <c r="H82" s="62">
        <f t="shared" si="6"/>
        <v>0</v>
      </c>
      <c r="I82" s="62">
        <f t="shared" si="8"/>
        <v>0</v>
      </c>
      <c r="L82" s="64">
        <f t="shared" si="5"/>
        <v>0</v>
      </c>
      <c r="M82" s="64">
        <f t="shared" si="7"/>
        <v>0</v>
      </c>
      <c r="AF82" s="19"/>
      <c r="AG82" s="19"/>
      <c r="AH82" s="19"/>
      <c r="AI82" s="19"/>
      <c r="AJ82" s="19"/>
      <c r="AK82" s="19"/>
      <c r="AL82" s="19"/>
    </row>
    <row r="83" spans="1:52" ht="17.25" customHeight="1" x14ac:dyDescent="0.25">
      <c r="A83" s="61" t="s">
        <v>127</v>
      </c>
      <c r="B83" s="62"/>
      <c r="C83" s="63"/>
      <c r="D83" s="50"/>
      <c r="E83" s="50"/>
      <c r="F83" s="62">
        <f t="shared" si="0"/>
        <v>0</v>
      </c>
      <c r="G83" s="62">
        <f t="shared" si="1"/>
        <v>0</v>
      </c>
      <c r="H83" s="62">
        <f t="shared" si="6"/>
        <v>0</v>
      </c>
      <c r="I83" s="62">
        <f t="shared" si="8"/>
        <v>0</v>
      </c>
      <c r="L83" s="64">
        <f t="shared" si="5"/>
        <v>0</v>
      </c>
      <c r="M83" s="64">
        <f t="shared" si="7"/>
        <v>0</v>
      </c>
      <c r="AF83" s="19"/>
      <c r="AG83" s="19"/>
      <c r="AH83" s="19"/>
      <c r="AI83" s="19"/>
      <c r="AJ83" s="19"/>
      <c r="AK83" s="19"/>
      <c r="AL83" s="19"/>
    </row>
    <row r="84" spans="1:52" ht="17.25" customHeight="1" x14ac:dyDescent="0.25">
      <c r="A84" s="61" t="s">
        <v>127</v>
      </c>
      <c r="B84" s="62"/>
      <c r="C84" s="63"/>
      <c r="D84" s="50"/>
      <c r="E84" s="50"/>
      <c r="F84" s="62">
        <f t="shared" si="0"/>
        <v>0</v>
      </c>
      <c r="G84" s="62">
        <f t="shared" si="1"/>
        <v>0</v>
      </c>
      <c r="H84" s="62">
        <f t="shared" si="6"/>
        <v>0</v>
      </c>
      <c r="I84" s="62">
        <f t="shared" si="8"/>
        <v>0</v>
      </c>
      <c r="L84" s="64">
        <f t="shared" si="5"/>
        <v>0</v>
      </c>
      <c r="M84" s="64">
        <f t="shared" si="7"/>
        <v>0</v>
      </c>
      <c r="AF84" s="19"/>
      <c r="AG84" s="19"/>
      <c r="AH84" s="19"/>
      <c r="AI84" s="19"/>
      <c r="AJ84" s="19"/>
      <c r="AK84" s="19"/>
      <c r="AL84" s="19"/>
    </row>
    <row r="85" spans="1:52" ht="17.25" customHeight="1" x14ac:dyDescent="0.25">
      <c r="A85" s="61" t="s">
        <v>127</v>
      </c>
      <c r="B85" s="62"/>
      <c r="C85" s="63"/>
      <c r="D85" s="50"/>
      <c r="E85" s="50"/>
      <c r="F85" s="62">
        <f t="shared" si="0"/>
        <v>0</v>
      </c>
      <c r="G85" s="62">
        <f t="shared" si="1"/>
        <v>0</v>
      </c>
      <c r="H85" s="62">
        <f t="shared" si="6"/>
        <v>0</v>
      </c>
      <c r="I85" s="62">
        <f t="shared" si="8"/>
        <v>0</v>
      </c>
      <c r="L85" s="64">
        <f t="shared" si="5"/>
        <v>0</v>
      </c>
      <c r="M85" s="64">
        <f t="shared" si="7"/>
        <v>0</v>
      </c>
      <c r="AF85" s="19"/>
      <c r="AG85" s="19"/>
      <c r="AH85" s="19"/>
      <c r="AI85" s="19"/>
      <c r="AJ85" s="19"/>
      <c r="AK85" s="19"/>
      <c r="AL85" s="19"/>
    </row>
    <row r="86" spans="1:52" ht="17.25" customHeight="1" x14ac:dyDescent="0.25">
      <c r="A86" s="61" t="s">
        <v>127</v>
      </c>
      <c r="B86" s="62"/>
      <c r="C86" s="63"/>
      <c r="D86" s="50"/>
      <c r="E86" s="50"/>
      <c r="F86" s="62">
        <f t="shared" si="0"/>
        <v>0</v>
      </c>
      <c r="G86" s="62">
        <f t="shared" si="1"/>
        <v>0</v>
      </c>
      <c r="H86" s="62">
        <f t="shared" si="6"/>
        <v>0</v>
      </c>
      <c r="I86" s="62">
        <f t="shared" si="8"/>
        <v>0</v>
      </c>
      <c r="L86" s="64">
        <f t="shared" si="5"/>
        <v>0</v>
      </c>
      <c r="M86" s="64">
        <f t="shared" si="7"/>
        <v>0</v>
      </c>
      <c r="AF86" s="19"/>
      <c r="AG86" s="19"/>
      <c r="AH86" s="19"/>
      <c r="AI86" s="19"/>
      <c r="AJ86" s="19"/>
      <c r="AK86" s="19"/>
      <c r="AL86" s="19"/>
    </row>
    <row r="87" spans="1:52" ht="17.25" customHeight="1" x14ac:dyDescent="0.25">
      <c r="A87" s="61" t="s">
        <v>128</v>
      </c>
      <c r="B87" s="62"/>
      <c r="C87" s="63"/>
      <c r="D87" s="50"/>
      <c r="E87" s="50"/>
      <c r="F87" s="65">
        <f>SUM(F72:F86)</f>
        <v>3925.2999999999997</v>
      </c>
      <c r="G87" s="65">
        <f>SUM(G72:G86)</f>
        <v>214.45000000000002</v>
      </c>
      <c r="H87" s="65">
        <f>SUM(H72:H86)</f>
        <v>3556.9999999999995</v>
      </c>
      <c r="I87" s="65">
        <f>SUM(I72:I86)</f>
        <v>177.44092786047858</v>
      </c>
      <c r="L87" s="66">
        <f>SUM(L72:L86)</f>
        <v>2150.8000000000002</v>
      </c>
      <c r="M87" s="66">
        <f>SUM(M72:M86)</f>
        <v>1774.5</v>
      </c>
      <c r="AF87" s="19"/>
      <c r="AG87" s="19"/>
      <c r="AH87" s="19"/>
      <c r="AI87" s="19"/>
      <c r="AJ87" s="19"/>
      <c r="AK87" s="19"/>
      <c r="AL87" s="19"/>
    </row>
    <row r="88" spans="1:52" ht="17.25" customHeight="1" x14ac:dyDescent="0.25">
      <c r="E88" s="9"/>
      <c r="F88" s="9"/>
      <c r="AF88" s="19"/>
      <c r="AG88" s="19"/>
      <c r="AH88" s="19"/>
      <c r="AI88" s="19"/>
      <c r="AJ88" s="19"/>
      <c r="AK88" s="19"/>
      <c r="AL88" s="19"/>
    </row>
    <row r="89" spans="1:52" ht="17.25" customHeight="1" x14ac:dyDescent="0.25">
      <c r="AF89" s="19"/>
      <c r="AG89" s="19"/>
      <c r="AH89" s="19"/>
      <c r="AI89" s="19"/>
      <c r="AJ89" s="19"/>
      <c r="AK89" s="19"/>
      <c r="AL89" s="19"/>
    </row>
    <row r="90" spans="1:52" ht="17.25" customHeight="1" x14ac:dyDescent="0.25">
      <c r="E90" s="74" t="s">
        <v>40</v>
      </c>
      <c r="F90" s="74"/>
      <c r="G90" s="74"/>
      <c r="H90" s="74"/>
      <c r="I90" s="74"/>
      <c r="J90" s="74"/>
      <c r="L90" s="74" t="s">
        <v>45</v>
      </c>
      <c r="M90" s="74"/>
      <c r="N90" s="74"/>
      <c r="O90" s="74"/>
      <c r="P90" s="74"/>
      <c r="Q90" s="74"/>
      <c r="S90" s="74" t="s">
        <v>46</v>
      </c>
      <c r="T90" s="74"/>
      <c r="U90" s="74"/>
      <c r="V90" s="74"/>
      <c r="W90" s="74"/>
      <c r="Y90" s="74" t="s">
        <v>47</v>
      </c>
      <c r="Z90" s="74"/>
      <c r="AA90" s="74"/>
      <c r="AB90" s="74"/>
      <c r="AC90" s="74"/>
      <c r="AD90" s="74"/>
      <c r="AF90" s="73" t="s">
        <v>130</v>
      </c>
      <c r="AG90" s="73"/>
      <c r="AH90" s="73"/>
      <c r="AI90" s="73"/>
      <c r="AJ90" s="73"/>
      <c r="AK90" s="19"/>
      <c r="AL90" s="74" t="s">
        <v>81</v>
      </c>
      <c r="AM90" s="74"/>
      <c r="AN90" s="74"/>
      <c r="AO90" s="74"/>
      <c r="AP90" s="74"/>
      <c r="AR90" s="73" t="s">
        <v>129</v>
      </c>
      <c r="AS90" s="73"/>
      <c r="AT90" s="73"/>
      <c r="AV90" s="74" t="s">
        <v>132</v>
      </c>
      <c r="AW90" s="74"/>
      <c r="AX90" s="74"/>
      <c r="AY90" s="74"/>
      <c r="AZ90" s="74"/>
    </row>
    <row r="91" spans="1:52" s="2" customFormat="1" ht="30.75" customHeight="1" x14ac:dyDescent="0.25">
      <c r="A91" s="13" t="s">
        <v>49</v>
      </c>
      <c r="B91" s="25" t="s">
        <v>38</v>
      </c>
      <c r="C91" s="28" t="s">
        <v>43</v>
      </c>
      <c r="D91" s="28" t="s">
        <v>65</v>
      </c>
      <c r="E91" s="35" t="s">
        <v>39</v>
      </c>
      <c r="F91" s="35" t="s">
        <v>41</v>
      </c>
      <c r="G91" s="37" t="s">
        <v>67</v>
      </c>
      <c r="H91" s="37" t="s">
        <v>68</v>
      </c>
      <c r="I91" s="13" t="s">
        <v>42</v>
      </c>
      <c r="J91" s="35" t="s">
        <v>48</v>
      </c>
      <c r="L91" s="35" t="s">
        <v>39</v>
      </c>
      <c r="M91" s="39" t="s">
        <v>54</v>
      </c>
      <c r="N91" s="37" t="s">
        <v>7</v>
      </c>
      <c r="O91" s="37" t="s">
        <v>57</v>
      </c>
      <c r="P91" s="35" t="s">
        <v>48</v>
      </c>
      <c r="Q91" s="37" t="s">
        <v>63</v>
      </c>
      <c r="S91" s="35" t="s">
        <v>39</v>
      </c>
      <c r="T91" s="39" t="s">
        <v>54</v>
      </c>
      <c r="U91" s="37" t="s">
        <v>7</v>
      </c>
      <c r="V91" s="37" t="s">
        <v>57</v>
      </c>
      <c r="W91" s="35" t="s">
        <v>48</v>
      </c>
      <c r="Y91" s="35" t="s">
        <v>39</v>
      </c>
      <c r="Z91" s="39" t="s">
        <v>54</v>
      </c>
      <c r="AA91" s="37" t="s">
        <v>7</v>
      </c>
      <c r="AB91" s="37" t="s">
        <v>57</v>
      </c>
      <c r="AC91" s="35" t="s">
        <v>48</v>
      </c>
      <c r="AD91" s="37" t="s">
        <v>63</v>
      </c>
      <c r="AE91" s="8"/>
      <c r="AF91" s="40" t="s">
        <v>39</v>
      </c>
      <c r="AG91" s="41" t="s">
        <v>54</v>
      </c>
      <c r="AH91" s="41" t="s">
        <v>72</v>
      </c>
      <c r="AI91" s="42" t="s">
        <v>69</v>
      </c>
      <c r="AJ91" s="40" t="s">
        <v>76</v>
      </c>
      <c r="AK91" s="21"/>
      <c r="AL91" s="60" t="s">
        <v>49</v>
      </c>
      <c r="AM91" s="40" t="s">
        <v>77</v>
      </c>
      <c r="AN91" s="40" t="s">
        <v>78</v>
      </c>
      <c r="AO91" s="40" t="s">
        <v>79</v>
      </c>
      <c r="AP91" s="40" t="s">
        <v>135</v>
      </c>
      <c r="AR91" s="60" t="s">
        <v>49</v>
      </c>
      <c r="AS91" s="41" t="s">
        <v>117</v>
      </c>
      <c r="AT91" s="40" t="s">
        <v>76</v>
      </c>
      <c r="AV91" s="60" t="s">
        <v>49</v>
      </c>
      <c r="AW91" s="40" t="s">
        <v>78</v>
      </c>
      <c r="AX91" s="40" t="s">
        <v>133</v>
      </c>
      <c r="AY91" s="40" t="s">
        <v>134</v>
      </c>
      <c r="AZ91" s="40" t="s">
        <v>136</v>
      </c>
    </row>
    <row r="92" spans="1:52" s="2" customFormat="1" ht="17.25" customHeight="1" x14ac:dyDescent="0.25">
      <c r="A92" s="13"/>
      <c r="B92" s="25"/>
      <c r="C92" s="28" t="s">
        <v>10</v>
      </c>
      <c r="D92" s="28" t="s">
        <v>10</v>
      </c>
      <c r="E92" s="35"/>
      <c r="F92" s="35"/>
      <c r="G92" s="37" t="s">
        <v>10</v>
      </c>
      <c r="H92" s="37" t="s">
        <v>10</v>
      </c>
      <c r="I92" s="13"/>
      <c r="J92" s="35" t="s">
        <v>12</v>
      </c>
      <c r="L92" s="35"/>
      <c r="M92" s="39" t="s">
        <v>13</v>
      </c>
      <c r="N92" s="37" t="s">
        <v>14</v>
      </c>
      <c r="O92" s="37" t="s">
        <v>11</v>
      </c>
      <c r="P92" s="37" t="s">
        <v>12</v>
      </c>
      <c r="Q92" s="37"/>
      <c r="S92" s="35"/>
      <c r="T92" s="39" t="s">
        <v>13</v>
      </c>
      <c r="U92" s="37" t="s">
        <v>14</v>
      </c>
      <c r="V92" s="37" t="s">
        <v>11</v>
      </c>
      <c r="W92" s="37" t="s">
        <v>12</v>
      </c>
      <c r="Y92" s="35"/>
      <c r="Z92" s="39" t="s">
        <v>13</v>
      </c>
      <c r="AA92" s="37" t="s">
        <v>14</v>
      </c>
      <c r="AB92" s="37" t="s">
        <v>11</v>
      </c>
      <c r="AC92" s="37" t="s">
        <v>12</v>
      </c>
      <c r="AD92" s="37"/>
      <c r="AE92" s="8"/>
      <c r="AF92" s="40"/>
      <c r="AG92" s="41" t="s">
        <v>13</v>
      </c>
      <c r="AH92" s="41" t="s">
        <v>10</v>
      </c>
      <c r="AI92" s="42" t="s">
        <v>70</v>
      </c>
      <c r="AJ92" s="42" t="s">
        <v>12</v>
      </c>
      <c r="AK92" s="21"/>
      <c r="AL92" s="17"/>
      <c r="AM92" s="42" t="s">
        <v>12</v>
      </c>
      <c r="AN92" s="42" t="s">
        <v>12</v>
      </c>
      <c r="AO92" s="42"/>
      <c r="AP92" s="35"/>
      <c r="AR92" s="50"/>
      <c r="AS92" s="42" t="s">
        <v>12</v>
      </c>
      <c r="AT92" s="42" t="s">
        <v>12</v>
      </c>
      <c r="AV92" s="50"/>
      <c r="AW92" s="42" t="s">
        <v>12</v>
      </c>
      <c r="AX92" s="42" t="s">
        <v>12</v>
      </c>
      <c r="AY92" s="42"/>
      <c r="AZ92" s="35"/>
    </row>
    <row r="93" spans="1:52" s="2" customFormat="1" ht="17.25" customHeight="1" x14ac:dyDescent="0.25">
      <c r="A93" s="15">
        <v>1</v>
      </c>
      <c r="B93" s="26">
        <v>0.11</v>
      </c>
      <c r="C93" s="29">
        <v>32.5</v>
      </c>
      <c r="D93" s="29">
        <v>23.3</v>
      </c>
      <c r="E93" s="35">
        <f>ROUNDUP(A93*$D$17/$D$22,0)</f>
        <v>2</v>
      </c>
      <c r="F93" s="36">
        <f>$D$17*A93/$D$22/E93</f>
        <v>0.95238095238095233</v>
      </c>
      <c r="G93" s="38">
        <f>IF($D$19="AR","---",IF((D93+$D$66)&gt;($D$24+2),(D93+$D$66),($D$24+2)))</f>
        <v>27.3</v>
      </c>
      <c r="H93" s="38" t="str">
        <f>IF($D$19="AR",IF((C93)&gt;$D$24,(C93),$D$24),"---")</f>
        <v>---</v>
      </c>
      <c r="I93" s="14">
        <v>6.7939999999999996</v>
      </c>
      <c r="J93" s="38">
        <f>+$D$17*A93/I93</f>
        <v>523.55019134530471</v>
      </c>
      <c r="L93" s="35">
        <f>+E93</f>
        <v>2</v>
      </c>
      <c r="M93" s="38">
        <f>IF($D$35="D",$D$30*L93,IF($D$37="S",$D$30*L93,$D$30*L93*(1+($D$27-L93)*$M$97)))</f>
        <v>458.85300000000007</v>
      </c>
      <c r="N93" s="38">
        <f>IF($D$35="D",$D$31,IF($D$37="S",(($D$29*1.25)+($D$31-$D$29*1.25)*(M93/$M$93)^0.5),((($D$29*1.25)+($D$31-$D$29*1.25)*(M93/$M$93)^0.5))))</f>
        <v>13</v>
      </c>
      <c r="O93" s="38">
        <f>+$D$32</f>
        <v>81.7</v>
      </c>
      <c r="P93" s="38">
        <f>+M93*N93/O93/3.6</f>
        <v>20.281140350877195</v>
      </c>
      <c r="Q93" s="39" t="str">
        <f>IF(P93/L93&gt;$D$34,"Motor Pequeno","OK")</f>
        <v>OK</v>
      </c>
      <c r="S93" s="35">
        <f>ROUNDUP(A93*$D$40,0)</f>
        <v>2</v>
      </c>
      <c r="T93" s="38">
        <f>+$D$43*$D$40*A93</f>
        <v>437.00285714285712</v>
      </c>
      <c r="U93" s="38">
        <f>$D$42+($D$44-$D$42)*(T93/$T$93)^2</f>
        <v>23</v>
      </c>
      <c r="V93" s="38">
        <f>+$D$32</f>
        <v>81.7</v>
      </c>
      <c r="W93" s="38">
        <f>+T93*U93/V93/3.6</f>
        <v>34.173350041771094</v>
      </c>
      <c r="Y93" s="35">
        <f>+E93</f>
        <v>2</v>
      </c>
      <c r="Z93" s="38">
        <f>IF($D$58="D",$D$53*Y93,IF($D$60="S",$D$53*Y93,$D$53*Y93*(1+($D$50-Y93)*$Z$97)))</f>
        <v>530.11453129367931</v>
      </c>
      <c r="AA93" s="38">
        <f>IF($D$58="D",$D$54,IF($D$60="S",(($D$52*1.25)+($D$54-$D$52*1.25)*(Z93/$Z$93)^0.5),((($D$52*1.25)+($D$54-$D$52*1.25)*(Z93/$Z$93)^0.5))))</f>
        <v>17</v>
      </c>
      <c r="AB93" s="38">
        <f>+$D$55</f>
        <v>83.9</v>
      </c>
      <c r="AC93" s="38">
        <f>+Z93*AA93/AB93/3.6</f>
        <v>29.836932300332894</v>
      </c>
      <c r="AD93" s="39" t="str">
        <f>IF(AC93/Y93&gt;$D$57,"Motor Pequeno","OK")</f>
        <v>OK</v>
      </c>
      <c r="AE93" s="11"/>
      <c r="AF93" s="40">
        <f>IF($D$68="S",ROUNDUP(A93*$D$62,0),$D$62)</f>
        <v>2</v>
      </c>
      <c r="AG93" s="43">
        <f>+Z93</f>
        <v>530.11453129367931</v>
      </c>
      <c r="AH93" s="43">
        <f>+($D$17*A93+J93)*0.86/AG93+G93</f>
        <v>33.919839595781333</v>
      </c>
      <c r="AI93" s="43">
        <f>+($D$17*A93+J93)/AF93/((AH93-G93)/LN((AH93-D93)/(G93-D93)))</f>
        <v>300.94156602323994</v>
      </c>
      <c r="AJ93" s="44">
        <f>IF($D$67="N",$D$65*AF93,$D$65*AF93*(AI93/$D$64)^3)</f>
        <v>16.546758561071687</v>
      </c>
      <c r="AK93" s="22"/>
      <c r="AL93" s="15">
        <v>1</v>
      </c>
      <c r="AM93" s="38">
        <f>+J93</f>
        <v>523.55019134530471</v>
      </c>
      <c r="AN93" s="38">
        <f>+J93+P93+W93+AC93+AJ93</f>
        <v>624.38837259935758</v>
      </c>
      <c r="AO93" s="45">
        <f>+$D$17*AL93/AN93</f>
        <v>5.6967748857847003</v>
      </c>
      <c r="AP93" s="75">
        <f>+AO93*B93+AO94*B94+AO95*B95+AO96*B96</f>
        <v>6.8822328435305797</v>
      </c>
      <c r="AR93" s="15">
        <v>1</v>
      </c>
      <c r="AS93" s="43">
        <f>+AR93*$H$87</f>
        <v>3556.9999999999995</v>
      </c>
      <c r="AT93" s="43">
        <f>(AS93/$H$87)^2*$I$87</f>
        <v>177.44092786047858</v>
      </c>
      <c r="AV93" s="15">
        <v>1</v>
      </c>
      <c r="AW93" s="38">
        <f>+AN93</f>
        <v>624.38837259935758</v>
      </c>
      <c r="AX93" s="38">
        <f>+AT93+AW93</f>
        <v>801.82930045983619</v>
      </c>
      <c r="AY93" s="49">
        <f>+$D$17*AV93/AX93</f>
        <v>4.4361062859141187</v>
      </c>
      <c r="AZ93" s="75">
        <f>+AY93*B93+AY94*B94+AY95*B95+AY96*B96</f>
        <v>5.6118068904575633</v>
      </c>
    </row>
    <row r="94" spans="1:52" s="2" customFormat="1" ht="17.25" customHeight="1" x14ac:dyDescent="0.25">
      <c r="A94" s="15">
        <v>0.75</v>
      </c>
      <c r="B94" s="26">
        <v>0.53</v>
      </c>
      <c r="C94" s="29">
        <v>27.3</v>
      </c>
      <c r="D94" s="29">
        <v>19.100000000000001</v>
      </c>
      <c r="E94" s="35">
        <f>ROUNDUP(A94*$D$17/$D$22,0)</f>
        <v>2</v>
      </c>
      <c r="F94" s="36">
        <f>$D$17*A94/$D$22/E94</f>
        <v>0.71428571428571419</v>
      </c>
      <c r="G94" s="38">
        <f t="shared" ref="G94:G96" si="9">IF($D$19="AR","---",IF((D94+$D$66)&gt;($D$24+2),(D94+$D$66),($D$24+2)))</f>
        <v>23.1</v>
      </c>
      <c r="H94" s="38" t="str">
        <f>IF($D$19="AR",IF((C94)&gt;$D$24,(C94),$D$24),"---")</f>
        <v>---</v>
      </c>
      <c r="I94" s="14">
        <v>8.4870000000000001</v>
      </c>
      <c r="J94" s="38">
        <f>+$D$17*A94/I94</f>
        <v>314.333686815129</v>
      </c>
      <c r="L94" s="35">
        <f>+E94</f>
        <v>2</v>
      </c>
      <c r="M94" s="38">
        <f>IF($D$35="D",$D$30*L94,IF($D$37="S",$D$30*L94,$D$30*L94*(1+($D$27-L94)*$M$97)))</f>
        <v>458.85300000000007</v>
      </c>
      <c r="N94" s="38">
        <f>IF($D$35="D",$D$31,IF($D$37="S",(($D$29*1.25)+($D$31-$D$29*1.25)*(M94/$M$93)^0.5),((($D$29*1.25)+($D$31-$D$29*1.25)*(M94/$M$93)^0.5))))</f>
        <v>13</v>
      </c>
      <c r="O94" s="38">
        <f>+$D$32</f>
        <v>81.7</v>
      </c>
      <c r="P94" s="38">
        <f>+M94*N94/O94/3.6</f>
        <v>20.281140350877195</v>
      </c>
      <c r="Q94" s="39" t="str">
        <f>IF(P94/L94&gt;$D$34,"Motor Pequeno","OK")</f>
        <v>OK</v>
      </c>
      <c r="S94" s="35">
        <f>ROUNDUP(A94*$D$40,0)</f>
        <v>2</v>
      </c>
      <c r="T94" s="38">
        <f>+$D$43*$D$40*A94</f>
        <v>327.75214285714287</v>
      </c>
      <c r="U94" s="38">
        <f>$D$42+($D$44-$D$42)*(T94/$T$93)^2</f>
        <v>17.750000000000004</v>
      </c>
      <c r="V94" s="38">
        <f>+$D$32</f>
        <v>81.7</v>
      </c>
      <c r="W94" s="38">
        <f>+T94*U94/V94/3.6</f>
        <v>19.779683583959905</v>
      </c>
      <c r="Y94" s="35">
        <f>+E94</f>
        <v>2</v>
      </c>
      <c r="Z94" s="38">
        <f>IF($D$58="D",$D$53*Y94,IF($D$60="S",$D$53*Y94,$D$53*Y94*(1+($D$50-Y94)*$Z$97)))</f>
        <v>530.11453129367931</v>
      </c>
      <c r="AA94" s="38">
        <f>IF($D$58="D",$D$54,IF($D$60="S",(($D$52*1.25)+($D$54-$D$52*1.25)*(Z94/$Z$93)^0.5),((($D$52*1.25)+($D$54-$D$52*1.25)*(Z94/$Z$93)^0.5))))</f>
        <v>17</v>
      </c>
      <c r="AB94" s="38">
        <f t="shared" ref="AB94:AB96" si="10">+$D$55</f>
        <v>83.9</v>
      </c>
      <c r="AC94" s="38">
        <f>+Z94*AA94/AB94/3.6</f>
        <v>29.836932300332894</v>
      </c>
      <c r="AD94" s="39" t="str">
        <f>IF(AC94/Y94&gt;$D$57,"Motor Pequeno","OK")</f>
        <v>OK</v>
      </c>
      <c r="AE94" s="11"/>
      <c r="AF94" s="40">
        <f>IF($D$68="S",ROUNDUP(A94*$D$62,0),$D$62)</f>
        <v>2</v>
      </c>
      <c r="AG94" s="43">
        <f>+Z94</f>
        <v>530.11453129367931</v>
      </c>
      <c r="AH94" s="43">
        <f>+($D$17*A94+J94)*0.86/AG94+G94</f>
        <v>27.937807340241061</v>
      </c>
      <c r="AI94" s="43">
        <f>+($D$17*A94+J94)/AF94/((AH94-G94)/LN((AH94-D94)/(G94-D94)))</f>
        <v>244.32869221002579</v>
      </c>
      <c r="AJ94" s="44">
        <f>IF($D$67="N",$D$65*AF94,$D$65*AF94*(AI94/$D$64)^3)</f>
        <v>8.85502540300911</v>
      </c>
      <c r="AK94" s="22"/>
      <c r="AL94" s="15">
        <v>0.75</v>
      </c>
      <c r="AM94" s="38">
        <f>+J94</f>
        <v>314.333686815129</v>
      </c>
      <c r="AN94" s="38">
        <f>+J94+P94+W94+AC94+AJ94</f>
        <v>393.0864684533081</v>
      </c>
      <c r="AO94" s="45">
        <f t="shared" ref="AO94:AO96" si="11">+$D$17*AL94/AN94</f>
        <v>6.7866747245126371</v>
      </c>
      <c r="AP94" s="75"/>
      <c r="AR94" s="15">
        <v>0.75</v>
      </c>
      <c r="AS94" s="43">
        <f t="shared" ref="AS94:AS96" si="12">+AR94*$H$87</f>
        <v>2667.7499999999995</v>
      </c>
      <c r="AT94" s="43">
        <f t="shared" ref="AT94:AT96" si="13">(AS94/$H$87)^2*$I$87</f>
        <v>99.810521921519197</v>
      </c>
      <c r="AV94" s="15">
        <v>0.75</v>
      </c>
      <c r="AW94" s="38">
        <f t="shared" ref="AW94:AW96" si="14">+AN94</f>
        <v>393.0864684533081</v>
      </c>
      <c r="AX94" s="38">
        <f t="shared" ref="AX94:AX96" si="15">+AT94+AW94</f>
        <v>492.89699037482728</v>
      </c>
      <c r="AY94" s="49">
        <f t="shared" ref="AY94:AY96" si="16">+$D$17*AV94/AX94</f>
        <v>5.4123884951524843</v>
      </c>
      <c r="AZ94" s="75"/>
    </row>
    <row r="95" spans="1:52" s="2" customFormat="1" ht="17.25" customHeight="1" x14ac:dyDescent="0.25">
      <c r="A95" s="15">
        <v>0.5</v>
      </c>
      <c r="B95" s="26">
        <v>0.31</v>
      </c>
      <c r="C95" s="29">
        <v>25.1</v>
      </c>
      <c r="D95" s="29">
        <v>17.5</v>
      </c>
      <c r="E95" s="35">
        <f>ROUNDUP(A95*$D$17/$D$22,0)</f>
        <v>1</v>
      </c>
      <c r="F95" s="36">
        <f>$D$17*A95/$D$22/E95</f>
        <v>0.95238095238095233</v>
      </c>
      <c r="G95" s="38">
        <f t="shared" si="9"/>
        <v>21.5</v>
      </c>
      <c r="H95" s="38" t="str">
        <f>IF($D$19="AR",IF((C95)&gt;$D$24,(C95),$D$24),"---")</f>
        <v>---</v>
      </c>
      <c r="I95" s="14">
        <v>9.3149999999999995</v>
      </c>
      <c r="J95" s="38">
        <f>+$D$17*A95/I95</f>
        <v>190.92860976918948</v>
      </c>
      <c r="L95" s="35">
        <f>+E95</f>
        <v>1</v>
      </c>
      <c r="M95" s="38">
        <f>IF($D$35="D",$D$30*L95,IF($D$37="S",$D$30*L95,$D$30*L95*(1+($D$27-L95)*$M$97)))</f>
        <v>229.42650000000003</v>
      </c>
      <c r="N95" s="38">
        <f>IF($D$35="D",$D$31,IF($D$37="S",(($D$29*1.25)+($D$31-$D$29*1.25)*(M95/$M$93)^0.5),((($D$29*1.25)+($D$31-$D$29*1.25)*(M95/$M$93)^0.5))))</f>
        <v>11.206029034767603</v>
      </c>
      <c r="O95" s="38">
        <f>+$D$32</f>
        <v>81.7</v>
      </c>
      <c r="P95" s="38">
        <f>+M95*N95/O95/3.6</f>
        <v>8.7411941396202568</v>
      </c>
      <c r="Q95" s="39" t="str">
        <f>IF(P95/L95&gt;$D$34,"Motor Pequeno","OK")</f>
        <v>OK</v>
      </c>
      <c r="S95" s="35">
        <f>ROUNDUP(A95*$D$40,0)</f>
        <v>1</v>
      </c>
      <c r="T95" s="38">
        <f>+$D$43*$D$40*A95</f>
        <v>218.50142857142856</v>
      </c>
      <c r="U95" s="38">
        <f>$D$42+($D$44-$D$42)*(T95/$T$93)^2</f>
        <v>14</v>
      </c>
      <c r="V95" s="38">
        <f>+$D$32</f>
        <v>81.7</v>
      </c>
      <c r="W95" s="38">
        <f>+T95*U95/V95/3.6</f>
        <v>10.400584795321636</v>
      </c>
      <c r="Y95" s="35">
        <f>+E95</f>
        <v>1</v>
      </c>
      <c r="Z95" s="38">
        <f>IF($D$58="D",$D$53*Y95,IF($D$60="S",$D$53*Y95,$D$53*Y95*(1+($D$50-Y95)*$Z$97)))</f>
        <v>265.05726564683965</v>
      </c>
      <c r="AA95" s="38">
        <f>IF($D$58="D",$D$54,IF($D$60="S",(($D$52*1.25)+($D$54-$D$52*1.25)*(Z95/$Z$93)^0.5),((($D$52*1.25)+($D$54-$D$52*1.25)*(Z95/$Z$93)^0.5))))</f>
        <v>14.034456159513795</v>
      </c>
      <c r="AB95" s="38">
        <f t="shared" si="10"/>
        <v>83.9</v>
      </c>
      <c r="AC95" s="38">
        <f>+Z95*AA95/AB95/3.6</f>
        <v>12.31603289127656</v>
      </c>
      <c r="AD95" s="39" t="str">
        <f>IF(AC95/Y95&gt;$D$57,"Motor Pequeno","OK")</f>
        <v>OK</v>
      </c>
      <c r="AE95" s="11"/>
      <c r="AF95" s="40">
        <f>IF($D$68="S",ROUNDUP(A95*$D$62,0),$D$62)</f>
        <v>1</v>
      </c>
      <c r="AG95" s="43">
        <f>+Z95</f>
        <v>265.05726564683965</v>
      </c>
      <c r="AH95" s="43">
        <f>+($D$17*A95+J95)*0.86/AG95+G95</f>
        <v>27.889972371699436</v>
      </c>
      <c r="AI95" s="43">
        <f>+($D$17*A95+J95)/AF95/((AH95-G95)/LN((AH95-D95)/(G95-D95)))</f>
        <v>294.19716363709392</v>
      </c>
      <c r="AJ95" s="44">
        <f>IF($D$67="N",$D$65*AF95,$D$65*AF95*(AI95/$D$64)^3)</f>
        <v>7.7295079581433175</v>
      </c>
      <c r="AK95" s="22"/>
      <c r="AL95" s="15">
        <v>0.5</v>
      </c>
      <c r="AM95" s="38">
        <f>+J95</f>
        <v>190.92860976918948</v>
      </c>
      <c r="AN95" s="38">
        <f>+J95+P95+W95+AC95+AJ95</f>
        <v>230.11592955355127</v>
      </c>
      <c r="AO95" s="45">
        <f t="shared" si="11"/>
        <v>7.7287131032192082</v>
      </c>
      <c r="AP95" s="75"/>
      <c r="AR95" s="15">
        <v>0.5</v>
      </c>
      <c r="AS95" s="43">
        <f t="shared" si="12"/>
        <v>1778.4999999999998</v>
      </c>
      <c r="AT95" s="43">
        <f t="shared" si="13"/>
        <v>44.360231965119645</v>
      </c>
      <c r="AV95" s="15">
        <v>0.5</v>
      </c>
      <c r="AW95" s="38">
        <f t="shared" si="14"/>
        <v>230.11592955355127</v>
      </c>
      <c r="AX95" s="38">
        <f t="shared" si="15"/>
        <v>274.47616151867089</v>
      </c>
      <c r="AY95" s="49">
        <f t="shared" si="16"/>
        <v>6.4796155344041413</v>
      </c>
      <c r="AZ95" s="75"/>
    </row>
    <row r="96" spans="1:52" s="2" customFormat="1" ht="17.25" customHeight="1" x14ac:dyDescent="0.25">
      <c r="A96" s="15">
        <v>0.25</v>
      </c>
      <c r="B96" s="26">
        <v>0.05</v>
      </c>
      <c r="C96" s="29">
        <v>19</v>
      </c>
      <c r="D96" s="29">
        <v>11</v>
      </c>
      <c r="E96" s="35">
        <f>ROUNDUP(A96*$D$17/$D$22,0)</f>
        <v>1</v>
      </c>
      <c r="F96" s="36">
        <f>$D$17*A96/$D$22/E96</f>
        <v>0.47619047619047616</v>
      </c>
      <c r="G96" s="38">
        <f t="shared" si="9"/>
        <v>15</v>
      </c>
      <c r="H96" s="38" t="str">
        <f>IF($D$19="AR",IF((C96)&gt;$D$24,(C96),$D$24),"---")</f>
        <v>---</v>
      </c>
      <c r="I96" s="14">
        <v>6.2709999999999999</v>
      </c>
      <c r="J96" s="38">
        <f>+$D$17*A96/I96</f>
        <v>141.80354010524638</v>
      </c>
      <c r="L96" s="35">
        <f>+E96</f>
        <v>1</v>
      </c>
      <c r="M96" s="38">
        <f>IF($D$35="D",$D$30*L96,IF($D$37="S",$D$30*L96,$D$30*L96*(1+($D$27-L96)*$M$97)))</f>
        <v>229.42650000000003</v>
      </c>
      <c r="N96" s="38">
        <f>IF($D$35="D",$D$31,IF($D$37="S",(($D$29*1.25)+($D$31-$D$29*1.25)*(M96/$M$93)^0.5),((($D$29*1.25)+($D$31-$D$29*1.25)*(M96/$M$93)^0.5))))</f>
        <v>11.206029034767603</v>
      </c>
      <c r="O96" s="38">
        <f>+$D$32</f>
        <v>81.7</v>
      </c>
      <c r="P96" s="38">
        <f>+M96*N96/O96/3.6</f>
        <v>8.7411941396202568</v>
      </c>
      <c r="Q96" s="39" t="str">
        <f>IF(P96/L96&gt;$D$34,"Motor Pequeno","OK")</f>
        <v>OK</v>
      </c>
      <c r="S96" s="35">
        <f>ROUNDUP(A96*$D$40,0)</f>
        <v>1</v>
      </c>
      <c r="T96" s="38">
        <f>+$D$43*$D$40*A96</f>
        <v>109.25071428571428</v>
      </c>
      <c r="U96" s="38">
        <f>$D$42+($D$44-$D$42)*(T96/$T$93)^2</f>
        <v>11.75</v>
      </c>
      <c r="V96" s="38">
        <f>+$D$32</f>
        <v>81.7</v>
      </c>
      <c r="W96" s="38">
        <f>+T96*U96/V96/3.6</f>
        <v>4.3645311194653296</v>
      </c>
      <c r="Y96" s="35">
        <f>+E96</f>
        <v>1</v>
      </c>
      <c r="Z96" s="38">
        <f>IF($D$58="D",$D$53*Y96,IF($D$60="S",$D$53*Y96,$D$53*Y96*(1+($D$50-Y96)*$Z$97)))</f>
        <v>265.05726564683965</v>
      </c>
      <c r="AA96" s="38">
        <f>IF($D$58="D",$D$54,IF($D$60="S",(($D$52*1.25)+($D$54-$D$52*1.25)*(Z96/$Z$93)^0.5),((($D$52*1.25)+($D$54-$D$52*1.25)*(Z96/$Z$93)^0.5))))</f>
        <v>14.034456159513795</v>
      </c>
      <c r="AB96" s="38">
        <f t="shared" si="10"/>
        <v>83.9</v>
      </c>
      <c r="AC96" s="38">
        <f>+Z96*AA96/AB96/3.6</f>
        <v>12.31603289127656</v>
      </c>
      <c r="AD96" s="39" t="str">
        <f>IF(AC96/Y96&gt;$D$57,"Motor Pequeno","OK")</f>
        <v>OK</v>
      </c>
      <c r="AE96" s="11"/>
      <c r="AF96" s="40">
        <f>IF($D$68="S",ROUNDUP(A96*$D$62,0),$D$62)</f>
        <v>1</v>
      </c>
      <c r="AG96" s="43">
        <f>+Z96</f>
        <v>265.05726564683965</v>
      </c>
      <c r="AH96" s="43">
        <f>+($D$17*A96+J96)*0.86/AG96+G96</f>
        <v>18.345337628555907</v>
      </c>
      <c r="AI96" s="43">
        <f>+($D$17*A96+J96)/AF96/((AH96-G96)/LN((AH96-D96)/(G96-D96)))</f>
        <v>187.31887126308064</v>
      </c>
      <c r="AJ96" s="44">
        <f>IF($D$67="N",$D$65*AF96,$D$65*AF96*(AI96/$D$64)^3)</f>
        <v>1.9951750307832141</v>
      </c>
      <c r="AK96" s="22"/>
      <c r="AL96" s="15">
        <v>0.25</v>
      </c>
      <c r="AM96" s="38">
        <f>+J96</f>
        <v>141.80354010524638</v>
      </c>
      <c r="AN96" s="38">
        <f>+J96+P96+W96+AC96+AJ96</f>
        <v>169.22047328639175</v>
      </c>
      <c r="AO96" s="45">
        <f t="shared" si="11"/>
        <v>5.2549788020922117</v>
      </c>
      <c r="AP96" s="75"/>
      <c r="AR96" s="15">
        <v>0.25</v>
      </c>
      <c r="AS96" s="43">
        <f t="shared" si="12"/>
        <v>889.24999999999989</v>
      </c>
      <c r="AT96" s="43">
        <f t="shared" si="13"/>
        <v>11.090057991279911</v>
      </c>
      <c r="AV96" s="15">
        <v>0.25</v>
      </c>
      <c r="AW96" s="38">
        <f t="shared" si="14"/>
        <v>169.22047328639175</v>
      </c>
      <c r="AX96" s="38">
        <f t="shared" si="15"/>
        <v>180.31053127767166</v>
      </c>
      <c r="AY96" s="49">
        <f t="shared" si="16"/>
        <v>4.9317696182181798</v>
      </c>
      <c r="AZ96" s="75"/>
    </row>
    <row r="97" spans="2:52" s="2" customFormat="1" ht="17.25" customHeight="1" x14ac:dyDescent="0.25">
      <c r="B97" s="4"/>
      <c r="C97" s="4"/>
      <c r="D97" s="4"/>
      <c r="M97" s="1">
        <v>0.25</v>
      </c>
      <c r="Z97" s="1">
        <v>0.25</v>
      </c>
      <c r="AF97" s="23"/>
      <c r="AG97" s="23"/>
      <c r="AH97" s="23"/>
      <c r="AI97" s="23"/>
      <c r="AJ97" s="23"/>
      <c r="AK97" s="23"/>
      <c r="AL97" s="23"/>
      <c r="AR97" s="23"/>
      <c r="AS97" s="23"/>
      <c r="AT97" s="23"/>
      <c r="AV97" s="23"/>
      <c r="AW97" s="9"/>
      <c r="AX97" s="9"/>
      <c r="AY97" s="9"/>
      <c r="AZ97" s="9"/>
    </row>
    <row r="98" spans="2:52" ht="17.25" customHeight="1" x14ac:dyDescent="0.25">
      <c r="B98" s="30" t="s">
        <v>19</v>
      </c>
      <c r="C98" s="30" t="s">
        <v>19</v>
      </c>
      <c r="D98" s="30" t="s">
        <v>19</v>
      </c>
      <c r="E98" s="33" t="s">
        <v>95</v>
      </c>
      <c r="F98" s="33" t="s">
        <v>20</v>
      </c>
      <c r="G98" s="33" t="s">
        <v>20</v>
      </c>
      <c r="H98" s="33" t="s">
        <v>20</v>
      </c>
      <c r="I98" s="9" t="s">
        <v>17</v>
      </c>
      <c r="J98" s="33" t="s">
        <v>20</v>
      </c>
      <c r="L98" s="33" t="s">
        <v>95</v>
      </c>
      <c r="M98" s="33" t="s">
        <v>20</v>
      </c>
      <c r="N98" s="33" t="s">
        <v>95</v>
      </c>
      <c r="O98" s="33" t="s">
        <v>95</v>
      </c>
      <c r="P98" s="33" t="s">
        <v>20</v>
      </c>
      <c r="Q98" s="33" t="s">
        <v>20</v>
      </c>
      <c r="S98" s="33" t="s">
        <v>95</v>
      </c>
      <c r="T98" s="33" t="s">
        <v>20</v>
      </c>
      <c r="U98" s="33" t="s">
        <v>95</v>
      </c>
      <c r="V98" s="33" t="s">
        <v>95</v>
      </c>
      <c r="W98" s="33" t="s">
        <v>20</v>
      </c>
      <c r="Y98" s="33" t="s">
        <v>95</v>
      </c>
      <c r="Z98" s="33" t="s">
        <v>20</v>
      </c>
      <c r="AA98" s="33" t="s">
        <v>95</v>
      </c>
      <c r="AB98" s="33" t="s">
        <v>95</v>
      </c>
      <c r="AC98" s="33" t="s">
        <v>20</v>
      </c>
      <c r="AD98" s="33" t="s">
        <v>20</v>
      </c>
      <c r="AF98" s="33" t="s">
        <v>95</v>
      </c>
      <c r="AG98" s="33" t="s">
        <v>20</v>
      </c>
      <c r="AH98" s="33" t="s">
        <v>20</v>
      </c>
      <c r="AI98" s="33" t="s">
        <v>20</v>
      </c>
      <c r="AJ98" s="33" t="s">
        <v>20</v>
      </c>
      <c r="AM98" s="33" t="s">
        <v>20</v>
      </c>
      <c r="AN98" s="33" t="s">
        <v>20</v>
      </c>
      <c r="AO98" s="33" t="s">
        <v>20</v>
      </c>
      <c r="AP98" s="33" t="s">
        <v>20</v>
      </c>
      <c r="AR98" s="18"/>
      <c r="AS98" s="33" t="s">
        <v>20</v>
      </c>
      <c r="AT98" s="33" t="s">
        <v>20</v>
      </c>
      <c r="AV98" s="18"/>
      <c r="AW98" s="33" t="s">
        <v>20</v>
      </c>
      <c r="AX98" s="33" t="s">
        <v>20</v>
      </c>
      <c r="AY98" s="33" t="s">
        <v>20</v>
      </c>
      <c r="AZ98" s="33" t="s">
        <v>20</v>
      </c>
    </row>
    <row r="100" spans="2:52" ht="114.75" customHeight="1" x14ac:dyDescent="0.25">
      <c r="E100" s="54" t="s">
        <v>104</v>
      </c>
      <c r="L100" s="54" t="s">
        <v>105</v>
      </c>
      <c r="N100" s="55" t="s">
        <v>109</v>
      </c>
      <c r="O100" s="55" t="s">
        <v>106</v>
      </c>
      <c r="S100" s="54" t="s">
        <v>107</v>
      </c>
      <c r="U100" s="55" t="s">
        <v>110</v>
      </c>
      <c r="V100" s="55" t="s">
        <v>106</v>
      </c>
      <c r="Y100" s="54" t="s">
        <v>108</v>
      </c>
      <c r="AA100" s="55" t="s">
        <v>111</v>
      </c>
      <c r="AB100" s="55" t="s">
        <v>106</v>
      </c>
      <c r="AF100" s="54" t="s">
        <v>112</v>
      </c>
    </row>
  </sheetData>
  <mergeCells count="13">
    <mergeCell ref="A1:J2"/>
    <mergeCell ref="A70:A71"/>
    <mergeCell ref="L70:M70"/>
    <mergeCell ref="AR90:AT90"/>
    <mergeCell ref="AV90:AZ90"/>
    <mergeCell ref="AZ93:AZ96"/>
    <mergeCell ref="AP93:AP96"/>
    <mergeCell ref="AL90:AP90"/>
    <mergeCell ref="E90:J90"/>
    <mergeCell ref="S90:W90"/>
    <mergeCell ref="AF90:AJ90"/>
    <mergeCell ref="L90:Q90"/>
    <mergeCell ref="Y90:AD90"/>
  </mergeCells>
  <pageMargins left="0.7" right="0.7" top="0.75" bottom="0.75" header="0.3" footer="0.3"/>
  <pageSetup paperSize="9" orientation="portrait" horizontalDpi="4294967292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90"/>
  <sheetViews>
    <sheetView tabSelected="1" workbookViewId="0">
      <selection activeCell="J8" sqref="J8"/>
    </sheetView>
  </sheetViews>
  <sheetFormatPr defaultRowHeight="14.25" x14ac:dyDescent="0.25"/>
  <cols>
    <col min="1" max="1" width="48.42578125" style="1" customWidth="1"/>
    <col min="2" max="2" width="16.42578125" style="1" customWidth="1"/>
    <col min="3" max="3" width="13" style="1" customWidth="1"/>
    <col min="4" max="4" width="14.140625" style="1" customWidth="1"/>
    <col min="5" max="5" width="14.85546875" style="9" customWidth="1"/>
    <col min="6" max="6" width="16.140625" style="9" customWidth="1"/>
    <col min="7" max="7" width="14.7109375" style="1" customWidth="1"/>
    <col min="8" max="8" width="16.28515625" style="1" customWidth="1"/>
    <col min="9" max="9" width="16.5703125" style="1" customWidth="1"/>
    <col min="10" max="10" width="10.140625" style="1" customWidth="1"/>
    <col min="11" max="11" width="2.42578125" style="1" customWidth="1"/>
    <col min="12" max="12" width="11.5703125" style="1" customWidth="1"/>
    <col min="13" max="13" width="9.140625" style="1"/>
    <col min="14" max="14" width="12.28515625" style="1" customWidth="1"/>
    <col min="15" max="15" width="10.85546875" style="1" customWidth="1"/>
    <col min="16" max="16" width="9.140625" style="1"/>
    <col min="17" max="17" width="3.7109375" style="1" customWidth="1"/>
    <col min="18" max="18" width="11.7109375" style="1" customWidth="1"/>
    <col min="19" max="19" width="9.140625" style="1"/>
    <col min="20" max="20" width="12" style="1" customWidth="1"/>
    <col min="21" max="21" width="12.42578125" style="1" customWidth="1"/>
    <col min="22" max="23" width="9.140625" style="1"/>
    <col min="24" max="24" width="3.85546875" style="1" customWidth="1"/>
    <col min="25" max="25" width="11.5703125" style="18" customWidth="1"/>
    <col min="26" max="27" width="9.140625" style="18"/>
    <col min="28" max="28" width="10.140625" style="18" customWidth="1"/>
    <col min="29" max="30" width="9.140625" style="18"/>
    <col min="31" max="31" width="19.42578125" style="18" customWidth="1"/>
    <col min="32" max="32" width="14.85546875" style="1" customWidth="1"/>
    <col min="33" max="33" width="12.28515625" style="1" customWidth="1"/>
    <col min="34" max="34" width="13.7109375" style="1" customWidth="1"/>
    <col min="35" max="35" width="12.85546875" style="1" customWidth="1"/>
    <col min="36" max="36" width="9.140625" style="1"/>
    <col min="37" max="45" width="16.7109375" style="1" customWidth="1"/>
    <col min="46" max="16384" width="9.140625" style="1"/>
  </cols>
  <sheetData>
    <row r="1" spans="1:31" x14ac:dyDescent="0.25">
      <c r="A1" s="78" t="s">
        <v>141</v>
      </c>
      <c r="B1" s="77"/>
      <c r="C1" s="77"/>
      <c r="D1" s="77"/>
      <c r="E1" s="77"/>
      <c r="F1" s="77"/>
      <c r="G1" s="77"/>
      <c r="H1" s="77"/>
      <c r="I1" s="77"/>
      <c r="J1" s="77"/>
    </row>
    <row r="2" spans="1:3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</row>
    <row r="5" spans="1:31" ht="17.25" customHeight="1" x14ac:dyDescent="0.25">
      <c r="A5" s="1" t="s">
        <v>140</v>
      </c>
      <c r="B5" s="1" t="s">
        <v>17</v>
      </c>
      <c r="C5" s="9"/>
      <c r="D5" s="67" t="s">
        <v>82</v>
      </c>
      <c r="E5" s="1"/>
      <c r="F5" s="1"/>
      <c r="Y5" s="1"/>
      <c r="Z5" s="1"/>
      <c r="AA5" s="1"/>
      <c r="AB5" s="1"/>
      <c r="AC5" s="1"/>
      <c r="AD5" s="1"/>
      <c r="AE5" s="1"/>
    </row>
    <row r="6" spans="1:31" ht="17.25" customHeight="1" x14ac:dyDescent="0.25">
      <c r="C6" s="9"/>
      <c r="D6" s="9"/>
      <c r="E6" s="1"/>
      <c r="F6" s="1"/>
      <c r="Y6" s="1"/>
      <c r="Z6" s="1"/>
      <c r="AA6" s="1"/>
      <c r="AB6" s="1"/>
      <c r="AC6" s="1"/>
      <c r="AD6" s="1"/>
      <c r="AE6" s="1"/>
    </row>
    <row r="7" spans="1:31" ht="17.25" customHeight="1" x14ac:dyDescent="0.25">
      <c r="A7" s="1" t="s">
        <v>18</v>
      </c>
      <c r="B7" s="1" t="s">
        <v>17</v>
      </c>
      <c r="C7" s="9"/>
      <c r="D7" s="9" t="s">
        <v>21</v>
      </c>
      <c r="E7" s="24" t="s">
        <v>88</v>
      </c>
      <c r="F7" s="1"/>
      <c r="Y7" s="1"/>
      <c r="Z7" s="1"/>
      <c r="AA7" s="1"/>
      <c r="AB7" s="1"/>
      <c r="AC7" s="1"/>
      <c r="AD7" s="1"/>
      <c r="AE7" s="1"/>
    </row>
    <row r="8" spans="1:31" ht="17.25" customHeight="1" x14ac:dyDescent="0.25">
      <c r="A8" s="1" t="s">
        <v>22</v>
      </c>
      <c r="B8" s="1" t="s">
        <v>17</v>
      </c>
      <c r="C8" s="9"/>
      <c r="D8" s="9" t="s">
        <v>24</v>
      </c>
      <c r="E8" s="24" t="s">
        <v>88</v>
      </c>
      <c r="F8" s="1"/>
      <c r="Y8" s="1"/>
      <c r="Z8" s="1"/>
      <c r="AA8" s="1"/>
      <c r="AB8" s="1"/>
      <c r="AC8" s="1"/>
      <c r="AD8" s="1"/>
      <c r="AE8" s="1"/>
    </row>
    <row r="9" spans="1:31" ht="17.25" customHeight="1" x14ac:dyDescent="0.25">
      <c r="A9" s="1" t="s">
        <v>23</v>
      </c>
      <c r="B9" s="1" t="s">
        <v>17</v>
      </c>
      <c r="C9" s="9"/>
      <c r="D9" s="3" t="s">
        <v>25</v>
      </c>
      <c r="E9" s="24" t="s">
        <v>88</v>
      </c>
      <c r="F9" s="1"/>
      <c r="Y9" s="1"/>
      <c r="Z9" s="1"/>
      <c r="AA9" s="1"/>
      <c r="AB9" s="1"/>
      <c r="AC9" s="1"/>
      <c r="AD9" s="1"/>
      <c r="AE9" s="1"/>
    </row>
    <row r="10" spans="1:31" ht="17.25" customHeight="1" x14ac:dyDescent="0.25">
      <c r="A10" s="1" t="s">
        <v>6</v>
      </c>
      <c r="B10" s="1" t="s">
        <v>17</v>
      </c>
      <c r="C10" s="9"/>
      <c r="D10" s="9" t="s">
        <v>26</v>
      </c>
      <c r="E10" s="24" t="s">
        <v>88</v>
      </c>
      <c r="F10" s="1"/>
      <c r="Y10" s="1"/>
      <c r="Z10" s="1"/>
      <c r="AA10" s="1"/>
      <c r="AB10" s="1"/>
      <c r="AC10" s="1"/>
      <c r="AD10" s="1"/>
      <c r="AE10" s="1"/>
    </row>
    <row r="11" spans="1:31" ht="17.25" customHeight="1" x14ac:dyDescent="0.25">
      <c r="A11" s="1" t="s">
        <v>5</v>
      </c>
      <c r="B11" s="1" t="s">
        <v>17</v>
      </c>
      <c r="C11" s="9" t="s">
        <v>10</v>
      </c>
      <c r="D11" s="9">
        <v>12.5</v>
      </c>
      <c r="E11" s="24" t="s">
        <v>88</v>
      </c>
      <c r="F11" s="1"/>
      <c r="Y11" s="1"/>
      <c r="Z11" s="1"/>
      <c r="AA11" s="1"/>
      <c r="AB11" s="1"/>
      <c r="AC11" s="1"/>
      <c r="AD11" s="1"/>
      <c r="AE11" s="1"/>
    </row>
    <row r="12" spans="1:31" ht="17.25" customHeight="1" x14ac:dyDescent="0.25">
      <c r="C12" s="9"/>
      <c r="D12" s="9"/>
      <c r="E12" s="24"/>
      <c r="F12" s="1"/>
      <c r="Y12" s="1"/>
      <c r="Z12" s="1"/>
      <c r="AA12" s="1"/>
      <c r="AB12" s="1"/>
      <c r="AC12" s="1"/>
      <c r="AD12" s="1"/>
      <c r="AE12" s="1"/>
    </row>
    <row r="13" spans="1:31" ht="17.25" customHeight="1" x14ac:dyDescent="0.25">
      <c r="A13" s="27" t="s">
        <v>9</v>
      </c>
      <c r="B13" s="27" t="s">
        <v>139</v>
      </c>
      <c r="C13" s="30" t="s">
        <v>16</v>
      </c>
      <c r="D13" s="30">
        <v>4550</v>
      </c>
      <c r="E13" s="31" t="s">
        <v>88</v>
      </c>
      <c r="F13" s="1"/>
      <c r="Y13" s="1"/>
      <c r="Z13" s="1"/>
      <c r="AA13" s="1"/>
      <c r="AB13" s="1"/>
      <c r="AC13" s="1"/>
      <c r="AD13" s="1"/>
      <c r="AE13" s="1"/>
    </row>
    <row r="14" spans="1:31" ht="17.25" customHeight="1" x14ac:dyDescent="0.25">
      <c r="C14" s="9"/>
      <c r="D14" s="9"/>
      <c r="E14" s="24"/>
      <c r="F14" s="1"/>
      <c r="Y14" s="1"/>
      <c r="Z14" s="1"/>
      <c r="AA14" s="1"/>
      <c r="AB14" s="1"/>
      <c r="AC14" s="1"/>
      <c r="AD14" s="1"/>
      <c r="AE14" s="1"/>
    </row>
    <row r="15" spans="1:31" ht="17.25" customHeight="1" x14ac:dyDescent="0.25">
      <c r="A15" s="1" t="s">
        <v>27</v>
      </c>
      <c r="B15" s="1" t="s">
        <v>17</v>
      </c>
      <c r="C15" s="9" t="s">
        <v>12</v>
      </c>
      <c r="D15" s="58">
        <f>+E15*D17</f>
        <v>1956.3500000000001</v>
      </c>
      <c r="E15" s="59">
        <v>0.55000000000000004</v>
      </c>
      <c r="F15" s="1"/>
      <c r="Y15" s="1"/>
      <c r="Z15" s="1"/>
      <c r="AA15" s="1"/>
      <c r="AB15" s="1"/>
      <c r="AC15" s="1"/>
      <c r="AD15" s="1"/>
      <c r="AE15" s="1"/>
    </row>
    <row r="16" spans="1:31" ht="17.25" customHeight="1" x14ac:dyDescent="0.25">
      <c r="A16" s="1" t="s">
        <v>28</v>
      </c>
      <c r="B16" s="1" t="s">
        <v>17</v>
      </c>
      <c r="C16" s="9" t="s">
        <v>12</v>
      </c>
      <c r="D16" s="58">
        <f>+E16*D17</f>
        <v>1600.65</v>
      </c>
      <c r="E16" s="59">
        <v>0.45</v>
      </c>
      <c r="F16" s="1"/>
      <c r="Y16" s="1"/>
      <c r="Z16" s="1"/>
      <c r="AA16" s="1"/>
      <c r="AB16" s="1"/>
      <c r="AC16" s="1"/>
      <c r="AD16" s="1"/>
      <c r="AE16" s="1"/>
    </row>
    <row r="17" spans="1:31" ht="17.25" customHeight="1" x14ac:dyDescent="0.25">
      <c r="A17" s="1" t="s">
        <v>29</v>
      </c>
      <c r="B17" s="1" t="s">
        <v>17</v>
      </c>
      <c r="C17" s="9" t="s">
        <v>12</v>
      </c>
      <c r="D17" s="9">
        <v>3557</v>
      </c>
      <c r="E17" s="1"/>
      <c r="F17" s="1"/>
      <c r="Y17" s="1"/>
      <c r="Z17" s="1"/>
      <c r="AA17" s="1"/>
      <c r="AB17" s="1"/>
      <c r="AC17" s="1"/>
      <c r="AD17" s="1"/>
      <c r="AE17" s="1"/>
    </row>
    <row r="18" spans="1:31" ht="17.25" customHeight="1" x14ac:dyDescent="0.25">
      <c r="C18" s="9"/>
      <c r="D18" s="9"/>
      <c r="E18" s="24"/>
      <c r="F18" s="1"/>
      <c r="Y18" s="1"/>
      <c r="Z18" s="1"/>
      <c r="AA18" s="1"/>
      <c r="AB18" s="1"/>
      <c r="AC18" s="1"/>
      <c r="AD18" s="1"/>
      <c r="AE18" s="1"/>
    </row>
    <row r="19" spans="1:31" ht="17.25" customHeight="1" x14ac:dyDescent="0.25">
      <c r="A19" s="1" t="s">
        <v>8</v>
      </c>
      <c r="B19" s="1" t="s">
        <v>17</v>
      </c>
      <c r="C19" s="9"/>
      <c r="D19" s="9" t="s">
        <v>74</v>
      </c>
      <c r="E19" s="24"/>
      <c r="F19" s="1"/>
      <c r="Y19" s="1"/>
      <c r="Z19" s="1"/>
      <c r="AA19" s="1"/>
      <c r="AB19" s="1"/>
      <c r="AC19" s="1"/>
      <c r="AD19" s="1"/>
      <c r="AE19" s="1"/>
    </row>
    <row r="20" spans="1:31" ht="17.25" customHeight="1" x14ac:dyDescent="0.25">
      <c r="A20" s="1" t="s">
        <v>0</v>
      </c>
      <c r="B20" s="1" t="s">
        <v>17</v>
      </c>
      <c r="C20" s="9"/>
      <c r="D20" s="9">
        <v>2</v>
      </c>
      <c r="E20" s="24"/>
      <c r="F20" s="1"/>
      <c r="Y20" s="1"/>
      <c r="Z20" s="1"/>
      <c r="AA20" s="1"/>
      <c r="AB20" s="1"/>
      <c r="AC20" s="1"/>
      <c r="AD20" s="1"/>
      <c r="AE20" s="1"/>
    </row>
    <row r="21" spans="1:31" ht="17.25" customHeight="1" x14ac:dyDescent="0.25">
      <c r="A21" s="32" t="s">
        <v>62</v>
      </c>
      <c r="B21" s="32" t="s">
        <v>20</v>
      </c>
      <c r="C21" s="33" t="s">
        <v>12</v>
      </c>
      <c r="D21" s="68">
        <f>+D17/D20</f>
        <v>1778.5</v>
      </c>
      <c r="E21" s="24"/>
      <c r="F21" s="1"/>
      <c r="Y21" s="1"/>
      <c r="Z21" s="1"/>
      <c r="AA21" s="1"/>
      <c r="AB21" s="1"/>
      <c r="AC21" s="1"/>
      <c r="AD21" s="1"/>
      <c r="AE21" s="1"/>
    </row>
    <row r="22" spans="1:31" ht="17.25" customHeight="1" x14ac:dyDescent="0.25">
      <c r="A22" s="1" t="s">
        <v>61</v>
      </c>
      <c r="B22" s="1" t="s">
        <v>17</v>
      </c>
      <c r="C22" s="9" t="s">
        <v>12</v>
      </c>
      <c r="D22" s="58">
        <f>+D21*1.05</f>
        <v>1867.4250000000002</v>
      </c>
      <c r="E22" s="52" t="s">
        <v>91</v>
      </c>
      <c r="F22" s="53" t="s">
        <v>92</v>
      </c>
      <c r="G22" s="51" t="s">
        <v>103</v>
      </c>
      <c r="H22" s="33"/>
      <c r="I22" s="32"/>
      <c r="J22" s="32"/>
      <c r="Y22" s="1"/>
      <c r="Z22" s="1"/>
      <c r="AA22" s="1"/>
      <c r="AB22" s="1"/>
      <c r="AC22" s="1"/>
      <c r="AD22" s="1"/>
      <c r="AE22" s="1"/>
    </row>
    <row r="23" spans="1:31" ht="31.5" customHeight="1" x14ac:dyDescent="0.25">
      <c r="A23" s="12" t="s">
        <v>90</v>
      </c>
      <c r="B23" s="1" t="s">
        <v>17</v>
      </c>
      <c r="C23" s="8" t="s">
        <v>85</v>
      </c>
      <c r="D23" s="4">
        <v>0.5</v>
      </c>
      <c r="E23" s="24"/>
      <c r="F23" s="1"/>
      <c r="Y23" s="1"/>
      <c r="Z23" s="1"/>
      <c r="AA23" s="1"/>
      <c r="AB23" s="1"/>
      <c r="AC23" s="1"/>
      <c r="AD23" s="1"/>
      <c r="AE23" s="1"/>
    </row>
    <row r="24" spans="1:31" ht="17.25" customHeight="1" x14ac:dyDescent="0.25">
      <c r="A24" s="1" t="str">
        <f>IF($D$19="AR","Temp. Entrada do Ar Externo - Projeto","Temp. Entrada de Água Resfriamento - Projeto")</f>
        <v>Temp. Entrada de Água Resfriamento - Projeto</v>
      </c>
      <c r="B24" s="1" t="s">
        <v>17</v>
      </c>
      <c r="C24" s="9" t="s">
        <v>10</v>
      </c>
      <c r="D24" s="5">
        <v>27.5</v>
      </c>
      <c r="E24" s="1"/>
      <c r="F24" s="1"/>
      <c r="Y24" s="1"/>
      <c r="Z24" s="1"/>
      <c r="AA24" s="1"/>
      <c r="AB24" s="1"/>
      <c r="AC24" s="1"/>
      <c r="AD24" s="1"/>
      <c r="AE24" s="1"/>
    </row>
    <row r="25" spans="1:31" ht="31.5" customHeight="1" x14ac:dyDescent="0.25">
      <c r="A25" s="12" t="str">
        <f>IF($D$19="AR","Temp Entrada do Ar Externo Mínima                 (dado de catálogo do Fabricante do Chiller)","Temp Entrada de Água de Resfriamento Mínima (dado de catálogo do Fabricante do Chiller)")</f>
        <v>Temp Entrada de Água de Resfriamento Mínima (dado de catálogo do Fabricante do Chiller)</v>
      </c>
      <c r="B25" s="1" t="s">
        <v>17</v>
      </c>
      <c r="C25" s="9" t="s">
        <v>10</v>
      </c>
      <c r="D25" s="9">
        <v>11.5</v>
      </c>
      <c r="E25" s="1"/>
      <c r="F25" s="1"/>
      <c r="Y25" s="1"/>
      <c r="Z25" s="1"/>
      <c r="AA25" s="1"/>
      <c r="AB25" s="1"/>
      <c r="AC25" s="1"/>
      <c r="AD25" s="1"/>
      <c r="AE25" s="1"/>
    </row>
    <row r="26" spans="1:31" ht="17.25" customHeight="1" x14ac:dyDescent="0.25">
      <c r="A26" s="1" t="s">
        <v>34</v>
      </c>
      <c r="B26" s="1" t="s">
        <v>17</v>
      </c>
      <c r="C26" s="9"/>
      <c r="D26" s="7">
        <v>6.4390000000000001</v>
      </c>
      <c r="E26" s="24"/>
      <c r="F26" s="1"/>
      <c r="Y26" s="1"/>
      <c r="Z26" s="1"/>
      <c r="AA26" s="1"/>
      <c r="AB26" s="1"/>
      <c r="AC26" s="1"/>
      <c r="AD26" s="1"/>
      <c r="AE26" s="1"/>
    </row>
    <row r="27" spans="1:31" ht="17.25" customHeight="1" x14ac:dyDescent="0.25">
      <c r="C27" s="9"/>
      <c r="D27" s="9"/>
      <c r="E27" s="24"/>
      <c r="F27" s="1"/>
      <c r="Y27" s="1"/>
      <c r="Z27" s="1"/>
      <c r="AA27" s="1"/>
      <c r="AB27" s="1"/>
      <c r="AC27" s="1"/>
      <c r="AD27" s="1"/>
      <c r="AE27" s="1"/>
    </row>
    <row r="28" spans="1:31" ht="17.25" customHeight="1" x14ac:dyDescent="0.25">
      <c r="A28" s="1" t="s">
        <v>3</v>
      </c>
      <c r="B28" s="1" t="s">
        <v>17</v>
      </c>
      <c r="C28" s="9"/>
      <c r="D28" s="9">
        <v>1</v>
      </c>
      <c r="E28" s="24" t="s">
        <v>89</v>
      </c>
      <c r="F28" s="1"/>
      <c r="Y28" s="1"/>
      <c r="Z28" s="1"/>
      <c r="AA28" s="1"/>
      <c r="AB28" s="1"/>
      <c r="AC28" s="1"/>
      <c r="AD28" s="1"/>
      <c r="AE28" s="1"/>
    </row>
    <row r="29" spans="1:31" ht="17.25" customHeight="1" x14ac:dyDescent="0.25">
      <c r="A29" s="1" t="s">
        <v>83</v>
      </c>
      <c r="B29" s="1" t="s">
        <v>17</v>
      </c>
      <c r="C29" s="9"/>
      <c r="D29" s="9">
        <f>+D20</f>
        <v>2</v>
      </c>
      <c r="E29" s="24" t="s">
        <v>99</v>
      </c>
      <c r="F29" s="9" t="s">
        <v>100</v>
      </c>
      <c r="Y29" s="1"/>
      <c r="Z29" s="1"/>
      <c r="AA29" s="1"/>
      <c r="AB29" s="1"/>
      <c r="AC29" s="1"/>
      <c r="AD29" s="1"/>
      <c r="AE29" s="1"/>
    </row>
    <row r="30" spans="1:31" ht="17.25" customHeight="1" x14ac:dyDescent="0.25">
      <c r="A30" s="1" t="s">
        <v>30</v>
      </c>
      <c r="B30" s="1" t="s">
        <v>17</v>
      </c>
      <c r="C30" s="9" t="s">
        <v>10</v>
      </c>
      <c r="D30" s="6">
        <v>7</v>
      </c>
      <c r="E30" s="24" t="s">
        <v>89</v>
      </c>
      <c r="F30" s="1"/>
      <c r="Y30" s="1"/>
      <c r="Z30" s="1"/>
      <c r="AA30" s="1"/>
      <c r="AB30" s="1"/>
      <c r="AC30" s="1"/>
      <c r="AD30" s="1"/>
      <c r="AE30" s="1"/>
    </row>
    <row r="31" spans="1:31" ht="17.25" customHeight="1" x14ac:dyDescent="0.25">
      <c r="A31" s="1" t="s">
        <v>53</v>
      </c>
      <c r="B31" s="1" t="s">
        <v>17</v>
      </c>
      <c r="C31" s="9" t="s">
        <v>14</v>
      </c>
      <c r="D31" s="6">
        <v>5.5</v>
      </c>
      <c r="E31" s="24" t="s">
        <v>89</v>
      </c>
      <c r="F31" s="1"/>
      <c r="Y31" s="1"/>
      <c r="Z31" s="1"/>
      <c r="AA31" s="1"/>
      <c r="AB31" s="1"/>
      <c r="AC31" s="1"/>
      <c r="AD31" s="1"/>
      <c r="AE31" s="1"/>
    </row>
    <row r="32" spans="1:31" ht="17.25" customHeight="1" x14ac:dyDescent="0.25">
      <c r="A32" s="1" t="s">
        <v>60</v>
      </c>
      <c r="B32" s="1" t="s">
        <v>17</v>
      </c>
      <c r="C32" s="9" t="s">
        <v>14</v>
      </c>
      <c r="D32" s="5">
        <v>11</v>
      </c>
      <c r="E32" s="24" t="s">
        <v>89</v>
      </c>
      <c r="F32" s="1"/>
      <c r="Y32" s="1"/>
      <c r="Z32" s="1"/>
      <c r="AA32" s="1"/>
      <c r="AB32" s="1"/>
      <c r="AC32" s="1"/>
      <c r="AD32" s="1"/>
      <c r="AE32" s="1"/>
    </row>
    <row r="33" spans="1:31" ht="17.25" customHeight="1" x14ac:dyDescent="0.25">
      <c r="A33" s="32" t="s">
        <v>1</v>
      </c>
      <c r="B33" s="32" t="s">
        <v>94</v>
      </c>
      <c r="C33" s="33" t="s">
        <v>13</v>
      </c>
      <c r="D33" s="34">
        <f>+D22*0.86/D30*D20/D29</f>
        <v>229.42650000000003</v>
      </c>
      <c r="E33" s="24"/>
      <c r="F33" s="32" t="s">
        <v>101</v>
      </c>
      <c r="G33" s="32"/>
      <c r="Y33" s="1"/>
      <c r="Z33" s="1"/>
      <c r="AA33" s="1"/>
      <c r="AB33" s="1"/>
      <c r="AC33" s="1"/>
      <c r="AD33" s="1"/>
      <c r="AE33" s="1"/>
    </row>
    <row r="34" spans="1:31" ht="17.25" customHeight="1" x14ac:dyDescent="0.25">
      <c r="A34" s="1" t="s">
        <v>96</v>
      </c>
      <c r="B34" s="1" t="s">
        <v>17</v>
      </c>
      <c r="C34" s="9" t="s">
        <v>14</v>
      </c>
      <c r="D34" s="9">
        <v>29</v>
      </c>
      <c r="E34" s="24" t="s">
        <v>89</v>
      </c>
      <c r="F34" s="1"/>
      <c r="Y34" s="1"/>
      <c r="Z34" s="1"/>
      <c r="AA34" s="1"/>
      <c r="AB34" s="1"/>
      <c r="AC34" s="1"/>
      <c r="AD34" s="1"/>
      <c r="AE34" s="1"/>
    </row>
    <row r="35" spans="1:31" ht="17.25" customHeight="1" x14ac:dyDescent="0.25">
      <c r="A35" s="1" t="s">
        <v>97</v>
      </c>
      <c r="B35" s="1" t="s">
        <v>17</v>
      </c>
      <c r="C35" s="9" t="s">
        <v>11</v>
      </c>
      <c r="D35" s="9">
        <v>84.7</v>
      </c>
      <c r="E35" s="24" t="s">
        <v>89</v>
      </c>
      <c r="F35" s="1"/>
      <c r="Y35" s="1"/>
      <c r="Z35" s="1"/>
      <c r="AA35" s="1"/>
      <c r="AB35" s="1"/>
      <c r="AC35" s="1"/>
      <c r="AD35" s="1"/>
      <c r="AE35" s="1"/>
    </row>
    <row r="36" spans="1:31" ht="17.25" customHeight="1" x14ac:dyDescent="0.25">
      <c r="A36" s="32" t="s">
        <v>87</v>
      </c>
      <c r="B36" s="32" t="s">
        <v>20</v>
      </c>
      <c r="C36" s="33" t="s">
        <v>12</v>
      </c>
      <c r="D36" s="34">
        <f>+D33*D34/3.6/D35</f>
        <v>21.820046241637151</v>
      </c>
      <c r="E36" s="24"/>
      <c r="F36" s="1"/>
      <c r="Y36" s="1"/>
      <c r="Z36" s="1"/>
      <c r="AA36" s="1"/>
      <c r="AB36" s="1"/>
      <c r="AC36" s="1"/>
      <c r="AD36" s="1"/>
      <c r="AE36" s="1"/>
    </row>
    <row r="37" spans="1:31" ht="17.25" customHeight="1" x14ac:dyDescent="0.25">
      <c r="A37" s="1" t="s">
        <v>86</v>
      </c>
      <c r="B37" s="1" t="s">
        <v>17</v>
      </c>
      <c r="C37" s="9" t="s">
        <v>12</v>
      </c>
      <c r="D37" s="5">
        <v>22</v>
      </c>
      <c r="E37" s="24"/>
      <c r="F37" s="32" t="s">
        <v>102</v>
      </c>
      <c r="G37" s="32"/>
      <c r="H37" s="32"/>
      <c r="I37" s="32"/>
      <c r="Y37" s="1"/>
      <c r="Z37" s="1"/>
      <c r="AA37" s="1"/>
      <c r="AB37" s="1"/>
      <c r="AC37" s="1"/>
      <c r="AD37" s="1"/>
      <c r="AE37" s="1"/>
    </row>
    <row r="38" spans="1:31" ht="17.25" customHeight="1" x14ac:dyDescent="0.25">
      <c r="C38" s="9"/>
      <c r="D38" s="5"/>
      <c r="E38" s="24"/>
      <c r="F38" s="1"/>
      <c r="Y38" s="1"/>
      <c r="Z38" s="1"/>
      <c r="AA38" s="1"/>
      <c r="AB38" s="1"/>
      <c r="AC38" s="1"/>
      <c r="AD38" s="1"/>
      <c r="AE38" s="1"/>
    </row>
    <row r="39" spans="1:31" ht="17.25" customHeight="1" x14ac:dyDescent="0.25">
      <c r="A39" s="1" t="s">
        <v>33</v>
      </c>
      <c r="B39" s="1" t="s">
        <v>17</v>
      </c>
      <c r="C39" s="9"/>
      <c r="D39" s="9">
        <f>+D20</f>
        <v>2</v>
      </c>
      <c r="E39" s="24" t="s">
        <v>99</v>
      </c>
      <c r="F39" s="9" t="s">
        <v>100</v>
      </c>
      <c r="Y39" s="1"/>
      <c r="Z39" s="1"/>
      <c r="AA39" s="1"/>
      <c r="AB39" s="1"/>
      <c r="AC39" s="1"/>
      <c r="AD39" s="1"/>
      <c r="AE39" s="1"/>
    </row>
    <row r="40" spans="1:31" ht="17.25" customHeight="1" x14ac:dyDescent="0.25">
      <c r="A40" s="1" t="s">
        <v>31</v>
      </c>
      <c r="B40" s="1" t="s">
        <v>17</v>
      </c>
      <c r="C40" s="9" t="s">
        <v>10</v>
      </c>
      <c r="D40" s="6">
        <v>7</v>
      </c>
      <c r="E40" s="24"/>
      <c r="F40" s="1"/>
      <c r="Y40" s="1"/>
      <c r="Z40" s="1"/>
      <c r="AA40" s="1"/>
      <c r="AB40" s="1"/>
      <c r="AC40" s="1"/>
      <c r="AD40" s="1"/>
      <c r="AE40" s="1"/>
    </row>
    <row r="41" spans="1:31" ht="17.25" customHeight="1" x14ac:dyDescent="0.25">
      <c r="A41" s="1" t="s">
        <v>53</v>
      </c>
      <c r="B41" s="1" t="s">
        <v>17</v>
      </c>
      <c r="C41" s="9" t="s">
        <v>14</v>
      </c>
      <c r="D41" s="6">
        <v>5.5</v>
      </c>
      <c r="E41" s="24" t="s">
        <v>89</v>
      </c>
    </row>
    <row r="42" spans="1:31" ht="17.25" customHeight="1" x14ac:dyDescent="0.25">
      <c r="A42" s="32" t="s">
        <v>1</v>
      </c>
      <c r="B42" s="32" t="s">
        <v>94</v>
      </c>
      <c r="C42" s="33" t="s">
        <v>13</v>
      </c>
      <c r="D42" s="34">
        <f>+D22*(1+1/D26)*0.86/D40*D20/D39</f>
        <v>265.05726564683965</v>
      </c>
      <c r="E42" s="24"/>
      <c r="F42" s="32" t="s">
        <v>101</v>
      </c>
      <c r="G42" s="32"/>
    </row>
    <row r="43" spans="1:31" ht="17.25" customHeight="1" x14ac:dyDescent="0.25">
      <c r="A43" s="1" t="s">
        <v>96</v>
      </c>
      <c r="B43" s="1" t="s">
        <v>17</v>
      </c>
      <c r="C43" s="9" t="s">
        <v>14</v>
      </c>
      <c r="D43" s="9">
        <v>17</v>
      </c>
      <c r="E43" s="24" t="s">
        <v>89</v>
      </c>
    </row>
    <row r="44" spans="1:31" ht="17.25" customHeight="1" x14ac:dyDescent="0.25">
      <c r="A44" s="1" t="s">
        <v>97</v>
      </c>
      <c r="B44" s="1" t="s">
        <v>17</v>
      </c>
      <c r="C44" s="9" t="s">
        <v>11</v>
      </c>
      <c r="D44" s="9">
        <v>85.1</v>
      </c>
      <c r="E44" s="24" t="s">
        <v>89</v>
      </c>
    </row>
    <row r="45" spans="1:31" ht="17.25" customHeight="1" x14ac:dyDescent="0.25">
      <c r="A45" s="32" t="s">
        <v>87</v>
      </c>
      <c r="B45" s="32" t="s">
        <v>20</v>
      </c>
      <c r="C45" s="33" t="s">
        <v>12</v>
      </c>
      <c r="D45" s="34">
        <f>+D42*D43/3.6/D44</f>
        <v>14.708099999987839</v>
      </c>
      <c r="E45" s="24"/>
    </row>
    <row r="46" spans="1:31" ht="17.25" customHeight="1" x14ac:dyDescent="0.25">
      <c r="A46" s="1" t="s">
        <v>64</v>
      </c>
      <c r="B46" s="1" t="s">
        <v>17</v>
      </c>
      <c r="C46" s="9" t="s">
        <v>12</v>
      </c>
      <c r="D46" s="5">
        <v>15</v>
      </c>
      <c r="E46" s="24"/>
      <c r="F46" s="32" t="s">
        <v>102</v>
      </c>
      <c r="G46" s="32"/>
      <c r="H46" s="32"/>
      <c r="I46" s="32"/>
      <c r="Y46" s="19"/>
      <c r="Z46" s="19"/>
      <c r="AA46" s="19"/>
      <c r="AB46" s="19"/>
      <c r="AC46" s="20"/>
      <c r="AD46" s="20"/>
      <c r="AE46" s="20"/>
    </row>
    <row r="47" spans="1:31" ht="17.25" customHeight="1" x14ac:dyDescent="0.25">
      <c r="A47" s="1" t="s">
        <v>52</v>
      </c>
      <c r="B47" s="1" t="s">
        <v>17</v>
      </c>
      <c r="C47" s="9" t="s">
        <v>51</v>
      </c>
      <c r="D47" s="5" t="s">
        <v>59</v>
      </c>
      <c r="E47" s="24" t="s">
        <v>89</v>
      </c>
      <c r="Y47" s="19"/>
      <c r="Z47" s="19"/>
      <c r="AA47" s="19"/>
      <c r="AB47" s="19"/>
      <c r="AC47" s="20"/>
      <c r="AD47" s="20"/>
      <c r="AE47" s="20"/>
    </row>
    <row r="48" spans="1:31" ht="17.25" customHeight="1" x14ac:dyDescent="0.25">
      <c r="A48" s="1" t="s">
        <v>35</v>
      </c>
      <c r="B48" s="1" t="s">
        <v>17</v>
      </c>
      <c r="C48" s="9" t="s">
        <v>36</v>
      </c>
      <c r="D48" s="5" t="s">
        <v>37</v>
      </c>
      <c r="E48" s="24" t="s">
        <v>89</v>
      </c>
      <c r="H48" s="10"/>
      <c r="Y48" s="19"/>
      <c r="Z48" s="19"/>
      <c r="AA48" s="19"/>
      <c r="AB48" s="19"/>
      <c r="AC48" s="20"/>
      <c r="AD48" s="20"/>
      <c r="AE48" s="20"/>
    </row>
    <row r="49" spans="1:38" ht="17.25" customHeight="1" x14ac:dyDescent="0.25">
      <c r="A49" s="1" t="s">
        <v>50</v>
      </c>
      <c r="B49" s="1" t="s">
        <v>17</v>
      </c>
      <c r="C49" s="9" t="s">
        <v>36</v>
      </c>
      <c r="D49" s="5" t="s">
        <v>58</v>
      </c>
      <c r="E49" s="24" t="s">
        <v>89</v>
      </c>
      <c r="Y49" s="19"/>
      <c r="Z49" s="19"/>
      <c r="AA49" s="19"/>
      <c r="AB49" s="19"/>
      <c r="AC49" s="20"/>
      <c r="AD49" s="20"/>
      <c r="AE49" s="20"/>
    </row>
    <row r="50" spans="1:38" ht="17.25" customHeight="1" x14ac:dyDescent="0.25">
      <c r="C50" s="9"/>
      <c r="D50" s="9"/>
      <c r="E50" s="24"/>
      <c r="H50" s="16"/>
      <c r="Y50" s="19"/>
      <c r="Z50" s="19"/>
      <c r="AA50" s="19"/>
      <c r="AB50" s="19"/>
      <c r="AC50" s="19"/>
      <c r="AD50" s="19"/>
      <c r="AE50" s="19"/>
    </row>
    <row r="51" spans="1:38" ht="17.25" customHeight="1" x14ac:dyDescent="0.25">
      <c r="A51" s="1" t="s">
        <v>4</v>
      </c>
      <c r="B51" s="1" t="s">
        <v>17</v>
      </c>
      <c r="C51" s="9"/>
      <c r="D51" s="9">
        <f>+D20</f>
        <v>2</v>
      </c>
      <c r="E51" s="24" t="s">
        <v>99</v>
      </c>
      <c r="F51" s="9" t="s">
        <v>100</v>
      </c>
      <c r="Y51" s="19"/>
      <c r="Z51" s="19"/>
      <c r="AA51" s="19"/>
      <c r="AB51" s="19"/>
      <c r="AC51" s="19"/>
      <c r="AD51" s="19"/>
      <c r="AE51" s="19"/>
    </row>
    <row r="52" spans="1:38" ht="17.25" customHeight="1" x14ac:dyDescent="0.25">
      <c r="A52" s="32" t="s">
        <v>1</v>
      </c>
      <c r="B52" s="32" t="s">
        <v>93</v>
      </c>
      <c r="C52" s="33" t="s">
        <v>13</v>
      </c>
      <c r="D52" s="34">
        <f>+D42*D39/D51</f>
        <v>265.05726564683965</v>
      </c>
      <c r="E52" s="24"/>
      <c r="F52" s="32" t="s">
        <v>101</v>
      </c>
      <c r="G52" s="32"/>
      <c r="Y52" s="19"/>
      <c r="Z52" s="19"/>
      <c r="AA52" s="19"/>
      <c r="AB52" s="19"/>
      <c r="AC52" s="20"/>
      <c r="AD52" s="20"/>
      <c r="AE52" s="20"/>
    </row>
    <row r="53" spans="1:38" ht="17.25" customHeight="1" x14ac:dyDescent="0.25">
      <c r="A53" s="32" t="s">
        <v>71</v>
      </c>
      <c r="B53" s="32" t="s">
        <v>20</v>
      </c>
      <c r="C53" s="33" t="s">
        <v>70</v>
      </c>
      <c r="D53" s="34">
        <f>+D52*D40/0.86/(D40/LN((D40+D55)/D55))</f>
        <v>311.78159485505586</v>
      </c>
      <c r="E53" s="24"/>
      <c r="Y53" s="19"/>
      <c r="Z53" s="19"/>
      <c r="AA53" s="21"/>
      <c r="AB53" s="19"/>
      <c r="AC53" s="19"/>
      <c r="AD53" s="19"/>
      <c r="AE53" s="19"/>
    </row>
    <row r="54" spans="1:38" ht="17.25" customHeight="1" x14ac:dyDescent="0.25">
      <c r="A54" s="1" t="s">
        <v>86</v>
      </c>
      <c r="B54" s="1" t="s">
        <v>17</v>
      </c>
      <c r="C54" s="9" t="s">
        <v>12</v>
      </c>
      <c r="D54" s="5">
        <v>9.1999999999999993</v>
      </c>
      <c r="E54" s="24"/>
      <c r="Y54" s="19"/>
      <c r="Z54" s="19"/>
      <c r="AA54" s="21"/>
      <c r="AB54" s="19"/>
      <c r="AC54" s="19"/>
      <c r="AD54" s="19"/>
      <c r="AE54" s="19"/>
    </row>
    <row r="55" spans="1:38" ht="17.25" customHeight="1" x14ac:dyDescent="0.25">
      <c r="A55" s="1" t="s">
        <v>66</v>
      </c>
      <c r="B55" s="1" t="s">
        <v>17</v>
      </c>
      <c r="C55" s="9" t="s">
        <v>10</v>
      </c>
      <c r="D55" s="5">
        <v>4</v>
      </c>
      <c r="E55" s="24" t="s">
        <v>89</v>
      </c>
      <c r="Y55" s="19"/>
      <c r="Z55" s="19"/>
      <c r="AA55" s="19"/>
      <c r="AB55" s="19"/>
      <c r="AC55" s="19"/>
      <c r="AD55" s="19"/>
      <c r="AE55" s="19"/>
    </row>
    <row r="56" spans="1:38" ht="17.25" customHeight="1" x14ac:dyDescent="0.25">
      <c r="A56" s="1" t="s">
        <v>35</v>
      </c>
      <c r="B56" s="1" t="s">
        <v>17</v>
      </c>
      <c r="C56" s="9" t="s">
        <v>36</v>
      </c>
      <c r="D56" s="5" t="s">
        <v>37</v>
      </c>
      <c r="E56" s="24" t="s">
        <v>89</v>
      </c>
      <c r="Y56" s="19"/>
      <c r="Z56" s="19"/>
      <c r="AA56" s="19"/>
      <c r="AB56" s="19"/>
      <c r="AC56" s="19"/>
      <c r="AD56" s="19"/>
      <c r="AE56" s="19"/>
    </row>
    <row r="57" spans="1:38" ht="17.25" customHeight="1" x14ac:dyDescent="0.25">
      <c r="A57" s="1" t="s">
        <v>75</v>
      </c>
      <c r="B57" s="1" t="s">
        <v>17</v>
      </c>
      <c r="C57" s="9" t="s">
        <v>36</v>
      </c>
      <c r="D57" s="5" t="s">
        <v>37</v>
      </c>
      <c r="E57" s="24" t="s">
        <v>89</v>
      </c>
      <c r="Y57" s="19"/>
      <c r="Z57" s="19"/>
      <c r="AA57" s="19"/>
      <c r="AB57" s="19"/>
      <c r="AC57" s="19"/>
      <c r="AD57" s="19"/>
      <c r="AE57" s="19"/>
    </row>
    <row r="58" spans="1:38" ht="17.25" customHeight="1" x14ac:dyDescent="0.25">
      <c r="C58" s="9"/>
      <c r="D58" s="5"/>
      <c r="E58" s="24"/>
      <c r="Y58" s="19"/>
      <c r="Z58" s="19"/>
      <c r="AA58" s="19"/>
      <c r="AB58" s="19"/>
      <c r="AC58" s="19"/>
      <c r="AD58" s="19"/>
      <c r="AE58" s="19"/>
    </row>
    <row r="59" spans="1:38" ht="49.5" customHeight="1" x14ac:dyDescent="0.25">
      <c r="A59" s="69" t="s">
        <v>116</v>
      </c>
      <c r="B59" s="50" t="s">
        <v>117</v>
      </c>
      <c r="C59" s="60" t="s">
        <v>118</v>
      </c>
      <c r="D59" s="50" t="s">
        <v>39</v>
      </c>
      <c r="E59" s="50" t="s">
        <v>119</v>
      </c>
      <c r="F59" s="60" t="s">
        <v>120</v>
      </c>
      <c r="G59" s="60" t="s">
        <v>131</v>
      </c>
      <c r="H59" s="60" t="s">
        <v>121</v>
      </c>
      <c r="I59" s="60" t="s">
        <v>137</v>
      </c>
      <c r="L59" s="71" t="s">
        <v>121</v>
      </c>
      <c r="M59" s="72"/>
      <c r="Y59" s="1"/>
      <c r="Z59" s="1"/>
      <c r="AA59" s="1"/>
      <c r="AB59" s="1"/>
      <c r="AC59" s="1"/>
      <c r="AD59" s="1"/>
      <c r="AE59" s="1"/>
      <c r="AF59" s="19"/>
      <c r="AG59" s="19"/>
      <c r="AH59" s="19"/>
      <c r="AI59" s="19"/>
      <c r="AJ59" s="19"/>
      <c r="AK59" s="19"/>
      <c r="AL59" s="19"/>
    </row>
    <row r="60" spans="1:38" ht="17.25" customHeight="1" x14ac:dyDescent="0.25">
      <c r="A60" s="70"/>
      <c r="B60" s="50" t="s">
        <v>12</v>
      </c>
      <c r="C60" s="50" t="s">
        <v>12</v>
      </c>
      <c r="D60" s="61"/>
      <c r="E60" s="50" t="s">
        <v>123</v>
      </c>
      <c r="F60" s="50" t="s">
        <v>12</v>
      </c>
      <c r="G60" s="50" t="s">
        <v>12</v>
      </c>
      <c r="H60" s="50" t="s">
        <v>12</v>
      </c>
      <c r="I60" s="50" t="s">
        <v>12</v>
      </c>
      <c r="L60" s="33" t="s">
        <v>124</v>
      </c>
      <c r="M60" s="33" t="s">
        <v>125</v>
      </c>
      <c r="Y60" s="1"/>
      <c r="Z60" s="1"/>
      <c r="AA60" s="1"/>
      <c r="AB60" s="1"/>
      <c r="AC60" s="1"/>
      <c r="AD60" s="1"/>
      <c r="AE60" s="1"/>
      <c r="AF60" s="19"/>
      <c r="AG60" s="19"/>
      <c r="AH60" s="19"/>
      <c r="AI60" s="19"/>
      <c r="AJ60" s="19"/>
      <c r="AK60" s="19"/>
      <c r="AL60" s="19"/>
    </row>
    <row r="61" spans="1:38" ht="17.25" customHeight="1" x14ac:dyDescent="0.25">
      <c r="A61" s="61" t="s">
        <v>126</v>
      </c>
      <c r="B61" s="62">
        <v>136.5</v>
      </c>
      <c r="C61" s="63">
        <v>7.37</v>
      </c>
      <c r="D61" s="50">
        <v>13</v>
      </c>
      <c r="E61" s="50" t="s">
        <v>124</v>
      </c>
      <c r="F61" s="62">
        <f t="shared" ref="F61:F75" si="0">+B61*D61</f>
        <v>1774.5</v>
      </c>
      <c r="G61" s="62">
        <f t="shared" ref="G61:G75" si="1">+C61*D61</f>
        <v>95.81</v>
      </c>
      <c r="H61" s="62">
        <f>(L61+($D$17-$L$76)/$M$76*M61)</f>
        <v>1774.5</v>
      </c>
      <c r="I61" s="62">
        <f t="shared" ref="I61:I67" si="2">IF(G61=0,0,(H61/F61)^2*G61)</f>
        <v>95.81</v>
      </c>
      <c r="L61" s="64">
        <f>IF(E61="O",F61,0)</f>
        <v>1774.5</v>
      </c>
      <c r="M61" s="64">
        <f t="shared" ref="M61" si="3">IF(E61="L",F61,0)</f>
        <v>0</v>
      </c>
      <c r="Y61" s="1"/>
      <c r="Z61" s="1"/>
      <c r="AA61" s="1"/>
      <c r="AB61" s="1"/>
      <c r="AC61" s="1"/>
      <c r="AD61" s="1"/>
      <c r="AE61" s="1"/>
      <c r="AF61" s="19"/>
      <c r="AG61" s="19"/>
      <c r="AH61" s="19"/>
      <c r="AI61" s="19"/>
      <c r="AJ61" s="19"/>
      <c r="AK61" s="19"/>
      <c r="AL61" s="19"/>
    </row>
    <row r="62" spans="1:38" ht="17.25" customHeight="1" x14ac:dyDescent="0.25">
      <c r="A62" s="61" t="s">
        <v>126</v>
      </c>
      <c r="B62" s="62">
        <v>109</v>
      </c>
      <c r="C62" s="63">
        <v>6.11</v>
      </c>
      <c r="D62" s="50">
        <v>13</v>
      </c>
      <c r="E62" s="50" t="s">
        <v>125</v>
      </c>
      <c r="F62" s="62">
        <f t="shared" si="0"/>
        <v>1417</v>
      </c>
      <c r="G62" s="62">
        <f t="shared" si="1"/>
        <v>79.430000000000007</v>
      </c>
      <c r="H62" s="62">
        <f t="shared" ref="H62:H75" si="4">(L62+($D$17-$L$76)/$M$76*M62)</f>
        <v>1122.8996336996336</v>
      </c>
      <c r="I62" s="62">
        <f t="shared" si="2"/>
        <v>49.880034177300097</v>
      </c>
      <c r="L62" s="64">
        <f t="shared" ref="L62:L75" si="5">IF(E62="O",F62,0)</f>
        <v>0</v>
      </c>
      <c r="M62" s="64">
        <f>IF(E62="L",F62,0)</f>
        <v>1417</v>
      </c>
      <c r="N62" s="10"/>
      <c r="Y62" s="1"/>
      <c r="Z62" s="1"/>
      <c r="AA62" s="1"/>
      <c r="AB62" s="1"/>
      <c r="AC62" s="1"/>
      <c r="AD62" s="1"/>
      <c r="AE62" s="1"/>
      <c r="AF62" s="19"/>
      <c r="AG62" s="19"/>
      <c r="AH62" s="19"/>
      <c r="AI62" s="19"/>
      <c r="AJ62" s="19"/>
      <c r="AK62" s="19"/>
      <c r="AL62" s="19"/>
    </row>
    <row r="63" spans="1:38" ht="17.25" customHeight="1" x14ac:dyDescent="0.25">
      <c r="A63" s="61" t="s">
        <v>138</v>
      </c>
      <c r="B63" s="62">
        <v>69.7</v>
      </c>
      <c r="C63" s="63">
        <v>3.53</v>
      </c>
      <c r="D63" s="50">
        <v>1</v>
      </c>
      <c r="E63" s="50" t="s">
        <v>124</v>
      </c>
      <c r="F63" s="62">
        <f t="shared" si="0"/>
        <v>69.7</v>
      </c>
      <c r="G63" s="62">
        <f t="shared" si="1"/>
        <v>3.53</v>
      </c>
      <c r="H63" s="62">
        <f t="shared" si="4"/>
        <v>69.7</v>
      </c>
      <c r="I63" s="62">
        <f t="shared" si="2"/>
        <v>3.53</v>
      </c>
      <c r="L63" s="64">
        <f t="shared" si="5"/>
        <v>69.7</v>
      </c>
      <c r="M63" s="64">
        <f t="shared" ref="M63:M75" si="6">IF(E63="L",F63,0)</f>
        <v>0</v>
      </c>
      <c r="Y63" s="1"/>
      <c r="Z63" s="1"/>
      <c r="AA63" s="1"/>
      <c r="AB63" s="1"/>
      <c r="AC63" s="1"/>
      <c r="AD63" s="1"/>
      <c r="AE63" s="1"/>
      <c r="AF63" s="19"/>
      <c r="AG63" s="19"/>
      <c r="AH63" s="19"/>
      <c r="AI63" s="19"/>
      <c r="AJ63" s="19"/>
      <c r="AK63" s="19"/>
      <c r="AL63" s="19"/>
    </row>
    <row r="64" spans="1:38" ht="17.25" customHeight="1" x14ac:dyDescent="0.25">
      <c r="A64" s="61" t="s">
        <v>127</v>
      </c>
      <c r="B64" s="62">
        <v>98.2</v>
      </c>
      <c r="C64" s="63">
        <v>5.41</v>
      </c>
      <c r="D64" s="50">
        <v>1</v>
      </c>
      <c r="E64" s="50" t="s">
        <v>124</v>
      </c>
      <c r="F64" s="62">
        <f t="shared" si="0"/>
        <v>98.2</v>
      </c>
      <c r="G64" s="62">
        <f t="shared" si="1"/>
        <v>5.41</v>
      </c>
      <c r="H64" s="62">
        <f t="shared" si="4"/>
        <v>98.2</v>
      </c>
      <c r="I64" s="62">
        <f t="shared" si="2"/>
        <v>5.41</v>
      </c>
      <c r="L64" s="64">
        <f t="shared" si="5"/>
        <v>98.2</v>
      </c>
      <c r="M64" s="64">
        <f t="shared" si="6"/>
        <v>0</v>
      </c>
      <c r="Y64" s="1"/>
      <c r="Z64" s="1"/>
      <c r="AA64" s="1"/>
      <c r="AB64" s="1"/>
      <c r="AC64" s="1"/>
      <c r="AD64" s="1"/>
      <c r="AE64" s="1"/>
      <c r="AF64" s="19"/>
      <c r="AG64" s="19"/>
      <c r="AH64" s="19"/>
      <c r="AI64" s="19"/>
      <c r="AJ64" s="19"/>
      <c r="AK64" s="19"/>
      <c r="AL64" s="19"/>
    </row>
    <row r="65" spans="1:45" ht="17.25" customHeight="1" x14ac:dyDescent="0.25">
      <c r="A65" s="61" t="s">
        <v>127</v>
      </c>
      <c r="B65" s="62">
        <v>71.5</v>
      </c>
      <c r="C65" s="63">
        <v>4.01</v>
      </c>
      <c r="D65" s="50">
        <v>5</v>
      </c>
      <c r="E65" s="50" t="s">
        <v>125</v>
      </c>
      <c r="F65" s="62">
        <f t="shared" si="0"/>
        <v>357.5</v>
      </c>
      <c r="G65" s="62">
        <f t="shared" si="1"/>
        <v>20.049999999999997</v>
      </c>
      <c r="H65" s="62">
        <f t="shared" si="4"/>
        <v>283.30036630036625</v>
      </c>
      <c r="I65" s="62">
        <f t="shared" si="2"/>
        <v>12.59089368317848</v>
      </c>
      <c r="L65" s="64">
        <f t="shared" si="5"/>
        <v>0</v>
      </c>
      <c r="M65" s="64">
        <f t="shared" si="6"/>
        <v>357.5</v>
      </c>
      <c r="Y65" s="1"/>
      <c r="Z65" s="1"/>
      <c r="AA65" s="1"/>
      <c r="AB65" s="1"/>
      <c r="AC65" s="1"/>
      <c r="AD65" s="1"/>
      <c r="AE65" s="1"/>
      <c r="AF65" s="19"/>
      <c r="AG65" s="19"/>
      <c r="AH65" s="19"/>
      <c r="AI65" s="19"/>
      <c r="AJ65" s="19"/>
      <c r="AK65" s="19"/>
      <c r="AL65" s="19"/>
    </row>
    <row r="66" spans="1:45" ht="17.25" customHeight="1" x14ac:dyDescent="0.25">
      <c r="A66" s="61" t="s">
        <v>127</v>
      </c>
      <c r="B66" s="62">
        <v>18.2</v>
      </c>
      <c r="C66" s="63">
        <v>0.89</v>
      </c>
      <c r="D66" s="50">
        <v>7</v>
      </c>
      <c r="E66" s="50" t="s">
        <v>124</v>
      </c>
      <c r="F66" s="62">
        <f t="shared" si="0"/>
        <v>127.39999999999999</v>
      </c>
      <c r="G66" s="62">
        <f t="shared" si="1"/>
        <v>6.23</v>
      </c>
      <c r="H66" s="62">
        <f t="shared" si="4"/>
        <v>127.39999999999999</v>
      </c>
      <c r="I66" s="62">
        <f t="shared" si="2"/>
        <v>6.23</v>
      </c>
      <c r="L66" s="64">
        <f t="shared" si="5"/>
        <v>127.39999999999999</v>
      </c>
      <c r="M66" s="64">
        <f t="shared" si="6"/>
        <v>0</v>
      </c>
      <c r="Y66" s="1"/>
      <c r="Z66" s="1"/>
      <c r="AA66" s="1"/>
      <c r="AB66" s="1"/>
      <c r="AC66" s="1"/>
      <c r="AD66" s="1"/>
      <c r="AE66" s="1"/>
      <c r="AF66" s="19"/>
      <c r="AG66" s="19"/>
      <c r="AH66" s="19"/>
      <c r="AI66" s="19"/>
      <c r="AJ66" s="19"/>
      <c r="AK66" s="19"/>
      <c r="AL66" s="19"/>
    </row>
    <row r="67" spans="1:45" ht="17.25" customHeight="1" x14ac:dyDescent="0.25">
      <c r="A67" s="61" t="s">
        <v>127</v>
      </c>
      <c r="B67" s="62">
        <v>27</v>
      </c>
      <c r="C67" s="63">
        <v>1.33</v>
      </c>
      <c r="D67" s="50">
        <v>3</v>
      </c>
      <c r="E67" s="50" t="s">
        <v>124</v>
      </c>
      <c r="F67" s="62">
        <f t="shared" si="0"/>
        <v>81</v>
      </c>
      <c r="G67" s="62">
        <f t="shared" si="1"/>
        <v>3.99</v>
      </c>
      <c r="H67" s="62">
        <f t="shared" si="4"/>
        <v>81</v>
      </c>
      <c r="I67" s="62">
        <f t="shared" si="2"/>
        <v>3.99</v>
      </c>
      <c r="L67" s="64">
        <f t="shared" si="5"/>
        <v>81</v>
      </c>
      <c r="M67" s="64">
        <f t="shared" si="6"/>
        <v>0</v>
      </c>
      <c r="Y67" s="1"/>
      <c r="Z67" s="1"/>
      <c r="AA67" s="1"/>
      <c r="AB67" s="1"/>
      <c r="AC67" s="1"/>
      <c r="AD67" s="1"/>
      <c r="AE67" s="1"/>
      <c r="AF67" s="19"/>
      <c r="AG67" s="19"/>
      <c r="AH67" s="19"/>
      <c r="AI67" s="19"/>
      <c r="AJ67" s="19"/>
      <c r="AK67" s="19"/>
      <c r="AL67" s="19"/>
    </row>
    <row r="68" spans="1:45" ht="17.25" customHeight="1" x14ac:dyDescent="0.25">
      <c r="A68" s="61" t="s">
        <v>127</v>
      </c>
      <c r="B68" s="62"/>
      <c r="C68" s="63"/>
      <c r="D68" s="50"/>
      <c r="E68" s="50"/>
      <c r="F68" s="62">
        <f t="shared" si="0"/>
        <v>0</v>
      </c>
      <c r="G68" s="62">
        <f t="shared" si="1"/>
        <v>0</v>
      </c>
      <c r="H68" s="62">
        <f t="shared" si="4"/>
        <v>0</v>
      </c>
      <c r="I68" s="62">
        <f>IF(G68=0,0,(H68/F68)^2*G68)</f>
        <v>0</v>
      </c>
      <c r="L68" s="64">
        <f t="shared" si="5"/>
        <v>0</v>
      </c>
      <c r="M68" s="64">
        <f t="shared" si="6"/>
        <v>0</v>
      </c>
      <c r="Y68" s="1"/>
      <c r="Z68" s="1"/>
      <c r="AA68" s="1"/>
      <c r="AB68" s="1"/>
      <c r="AC68" s="1"/>
      <c r="AD68" s="1"/>
      <c r="AE68" s="1"/>
      <c r="AF68" s="19"/>
      <c r="AG68" s="19"/>
      <c r="AH68" s="19"/>
      <c r="AI68" s="19"/>
      <c r="AJ68" s="19"/>
      <c r="AK68" s="19"/>
      <c r="AL68" s="19"/>
    </row>
    <row r="69" spans="1:45" ht="17.25" customHeight="1" x14ac:dyDescent="0.25">
      <c r="A69" s="61" t="s">
        <v>127</v>
      </c>
      <c r="B69" s="62"/>
      <c r="C69" s="63"/>
      <c r="D69" s="50"/>
      <c r="E69" s="50"/>
      <c r="F69" s="62">
        <f t="shared" si="0"/>
        <v>0</v>
      </c>
      <c r="G69" s="62">
        <f t="shared" si="1"/>
        <v>0</v>
      </c>
      <c r="H69" s="62">
        <f t="shared" si="4"/>
        <v>0</v>
      </c>
      <c r="I69" s="62">
        <f t="shared" ref="I69:I75" si="7">IF(G69=0,0,(H69/F69)^2*G69)</f>
        <v>0</v>
      </c>
      <c r="L69" s="64">
        <f t="shared" si="5"/>
        <v>0</v>
      </c>
      <c r="M69" s="64">
        <f t="shared" si="6"/>
        <v>0</v>
      </c>
      <c r="Y69" s="1"/>
      <c r="Z69" s="1"/>
      <c r="AA69" s="1"/>
      <c r="AB69" s="1"/>
      <c r="AC69" s="1"/>
      <c r="AD69" s="1"/>
      <c r="AE69" s="1"/>
      <c r="AF69" s="19"/>
      <c r="AG69" s="19"/>
      <c r="AH69" s="19"/>
      <c r="AI69" s="19"/>
      <c r="AJ69" s="19"/>
      <c r="AK69" s="19"/>
      <c r="AL69" s="19"/>
    </row>
    <row r="70" spans="1:45" ht="17.25" customHeight="1" x14ac:dyDescent="0.25">
      <c r="A70" s="61" t="s">
        <v>127</v>
      </c>
      <c r="B70" s="62"/>
      <c r="C70" s="63"/>
      <c r="D70" s="50"/>
      <c r="E70" s="50"/>
      <c r="F70" s="62">
        <f t="shared" si="0"/>
        <v>0</v>
      </c>
      <c r="G70" s="62">
        <f t="shared" si="1"/>
        <v>0</v>
      </c>
      <c r="H70" s="62">
        <f t="shared" si="4"/>
        <v>0</v>
      </c>
      <c r="I70" s="62">
        <f t="shared" si="7"/>
        <v>0</v>
      </c>
      <c r="L70" s="64">
        <f t="shared" si="5"/>
        <v>0</v>
      </c>
      <c r="M70" s="64">
        <f t="shared" si="6"/>
        <v>0</v>
      </c>
      <c r="Y70" s="1"/>
      <c r="Z70" s="1"/>
      <c r="AA70" s="1"/>
      <c r="AB70" s="1"/>
      <c r="AC70" s="1"/>
      <c r="AD70" s="1"/>
      <c r="AE70" s="1"/>
      <c r="AF70" s="19"/>
      <c r="AG70" s="19"/>
      <c r="AH70" s="19"/>
      <c r="AI70" s="19"/>
      <c r="AJ70" s="19"/>
      <c r="AK70" s="19"/>
      <c r="AL70" s="19"/>
    </row>
    <row r="71" spans="1:45" ht="17.25" customHeight="1" x14ac:dyDescent="0.25">
      <c r="A71" s="61" t="s">
        <v>127</v>
      </c>
      <c r="B71" s="62"/>
      <c r="C71" s="63"/>
      <c r="D71" s="50"/>
      <c r="E71" s="50"/>
      <c r="F71" s="62">
        <f t="shared" si="0"/>
        <v>0</v>
      </c>
      <c r="G71" s="62">
        <f t="shared" si="1"/>
        <v>0</v>
      </c>
      <c r="H71" s="62">
        <f t="shared" si="4"/>
        <v>0</v>
      </c>
      <c r="I71" s="62">
        <f t="shared" si="7"/>
        <v>0</v>
      </c>
      <c r="L71" s="64">
        <f t="shared" si="5"/>
        <v>0</v>
      </c>
      <c r="M71" s="64">
        <f t="shared" si="6"/>
        <v>0</v>
      </c>
      <c r="Y71" s="1"/>
      <c r="Z71" s="1"/>
      <c r="AA71" s="1"/>
      <c r="AB71" s="1"/>
      <c r="AC71" s="1"/>
      <c r="AD71" s="1"/>
      <c r="AE71" s="1"/>
      <c r="AF71" s="19"/>
      <c r="AG71" s="19"/>
      <c r="AH71" s="19"/>
      <c r="AI71" s="19"/>
      <c r="AJ71" s="19"/>
      <c r="AK71" s="19"/>
      <c r="AL71" s="19"/>
    </row>
    <row r="72" spans="1:45" ht="17.25" customHeight="1" x14ac:dyDescent="0.25">
      <c r="A72" s="61" t="s">
        <v>127</v>
      </c>
      <c r="B72" s="62"/>
      <c r="C72" s="63"/>
      <c r="D72" s="50"/>
      <c r="E72" s="50"/>
      <c r="F72" s="62">
        <f t="shared" si="0"/>
        <v>0</v>
      </c>
      <c r="G72" s="62">
        <f t="shared" si="1"/>
        <v>0</v>
      </c>
      <c r="H72" s="62">
        <f t="shared" si="4"/>
        <v>0</v>
      </c>
      <c r="I72" s="62">
        <f t="shared" si="7"/>
        <v>0</v>
      </c>
      <c r="L72" s="64">
        <f t="shared" si="5"/>
        <v>0</v>
      </c>
      <c r="M72" s="64">
        <f t="shared" si="6"/>
        <v>0</v>
      </c>
      <c r="Y72" s="1"/>
      <c r="Z72" s="1"/>
      <c r="AA72" s="1"/>
      <c r="AB72" s="1"/>
      <c r="AC72" s="1"/>
      <c r="AD72" s="1"/>
      <c r="AE72" s="1"/>
      <c r="AF72" s="19"/>
      <c r="AG72" s="19"/>
      <c r="AH72" s="19"/>
      <c r="AI72" s="19"/>
      <c r="AJ72" s="19"/>
      <c r="AK72" s="19"/>
      <c r="AL72" s="19"/>
    </row>
    <row r="73" spans="1:45" ht="17.25" customHeight="1" x14ac:dyDescent="0.25">
      <c r="A73" s="61" t="s">
        <v>127</v>
      </c>
      <c r="B73" s="62"/>
      <c r="C73" s="63"/>
      <c r="D73" s="50"/>
      <c r="E73" s="50"/>
      <c r="F73" s="62">
        <f t="shared" si="0"/>
        <v>0</v>
      </c>
      <c r="G73" s="62">
        <f t="shared" si="1"/>
        <v>0</v>
      </c>
      <c r="H73" s="62">
        <f t="shared" si="4"/>
        <v>0</v>
      </c>
      <c r="I73" s="62">
        <f t="shared" si="7"/>
        <v>0</v>
      </c>
      <c r="L73" s="64">
        <f t="shared" si="5"/>
        <v>0</v>
      </c>
      <c r="M73" s="64">
        <f t="shared" si="6"/>
        <v>0</v>
      </c>
      <c r="Y73" s="1"/>
      <c r="Z73" s="1"/>
      <c r="AA73" s="1"/>
      <c r="AB73" s="1"/>
      <c r="AC73" s="1"/>
      <c r="AD73" s="1"/>
      <c r="AE73" s="1"/>
      <c r="AF73" s="19"/>
      <c r="AG73" s="19"/>
      <c r="AH73" s="19"/>
      <c r="AI73" s="19"/>
      <c r="AJ73" s="19"/>
      <c r="AK73" s="19"/>
      <c r="AL73" s="19"/>
    </row>
    <row r="74" spans="1:45" ht="17.25" customHeight="1" x14ac:dyDescent="0.25">
      <c r="A74" s="61" t="s">
        <v>127</v>
      </c>
      <c r="B74" s="62"/>
      <c r="C74" s="63"/>
      <c r="D74" s="50"/>
      <c r="E74" s="50"/>
      <c r="F74" s="62">
        <f t="shared" si="0"/>
        <v>0</v>
      </c>
      <c r="G74" s="62">
        <f t="shared" si="1"/>
        <v>0</v>
      </c>
      <c r="H74" s="62">
        <f t="shared" si="4"/>
        <v>0</v>
      </c>
      <c r="I74" s="62">
        <f t="shared" si="7"/>
        <v>0</v>
      </c>
      <c r="L74" s="64">
        <f t="shared" si="5"/>
        <v>0</v>
      </c>
      <c r="M74" s="64">
        <f t="shared" si="6"/>
        <v>0</v>
      </c>
      <c r="Y74" s="1"/>
      <c r="Z74" s="1"/>
      <c r="AA74" s="1"/>
      <c r="AB74" s="1"/>
      <c r="AC74" s="1"/>
      <c r="AD74" s="1"/>
      <c r="AE74" s="1"/>
      <c r="AF74" s="19"/>
      <c r="AG74" s="19"/>
      <c r="AH74" s="19"/>
      <c r="AI74" s="19"/>
      <c r="AJ74" s="19"/>
      <c r="AK74" s="19"/>
      <c r="AL74" s="19"/>
    </row>
    <row r="75" spans="1:45" ht="17.25" customHeight="1" x14ac:dyDescent="0.25">
      <c r="A75" s="61" t="s">
        <v>127</v>
      </c>
      <c r="B75" s="62"/>
      <c r="C75" s="63"/>
      <c r="D75" s="50"/>
      <c r="E75" s="50"/>
      <c r="F75" s="62">
        <f t="shared" si="0"/>
        <v>0</v>
      </c>
      <c r="G75" s="62">
        <f t="shared" si="1"/>
        <v>0</v>
      </c>
      <c r="H75" s="62">
        <f t="shared" si="4"/>
        <v>0</v>
      </c>
      <c r="I75" s="62">
        <f t="shared" si="7"/>
        <v>0</v>
      </c>
      <c r="L75" s="64">
        <f t="shared" si="5"/>
        <v>0</v>
      </c>
      <c r="M75" s="64">
        <f t="shared" si="6"/>
        <v>0</v>
      </c>
      <c r="Y75" s="1"/>
      <c r="Z75" s="1"/>
      <c r="AA75" s="1"/>
      <c r="AB75" s="1"/>
      <c r="AC75" s="1"/>
      <c r="AD75" s="1"/>
      <c r="AE75" s="1"/>
      <c r="AF75" s="19"/>
      <c r="AG75" s="19"/>
      <c r="AH75" s="19"/>
      <c r="AI75" s="19"/>
      <c r="AJ75" s="19"/>
      <c r="AK75" s="19"/>
      <c r="AL75" s="19"/>
    </row>
    <row r="76" spans="1:45" ht="17.25" customHeight="1" x14ac:dyDescent="0.25">
      <c r="A76" s="61" t="s">
        <v>128</v>
      </c>
      <c r="B76" s="62"/>
      <c r="C76" s="63"/>
      <c r="D76" s="50"/>
      <c r="E76" s="50"/>
      <c r="F76" s="65">
        <f>SUM(F61:F75)</f>
        <v>3925.2999999999997</v>
      </c>
      <c r="G76" s="65">
        <f>SUM(G61:G75)</f>
        <v>214.45000000000002</v>
      </c>
      <c r="H76" s="65">
        <f>SUM(H61:H75)</f>
        <v>3556.9999999999995</v>
      </c>
      <c r="I76" s="65">
        <f>SUM(I61:I75)</f>
        <v>177.44092786047858</v>
      </c>
      <c r="L76" s="66">
        <f>SUM(L61:L75)</f>
        <v>2150.8000000000002</v>
      </c>
      <c r="M76" s="66">
        <f>SUM(M61:M75)</f>
        <v>1774.5</v>
      </c>
      <c r="Y76" s="1"/>
      <c r="Z76" s="1"/>
      <c r="AA76" s="1"/>
      <c r="AB76" s="1"/>
      <c r="AC76" s="1"/>
      <c r="AD76" s="1"/>
      <c r="AE76" s="1"/>
      <c r="AF76" s="19"/>
      <c r="AG76" s="19"/>
      <c r="AH76" s="19"/>
      <c r="AI76" s="19"/>
      <c r="AJ76" s="19"/>
      <c r="AK76" s="19"/>
      <c r="AL76" s="19"/>
    </row>
    <row r="77" spans="1:45" ht="17.25" customHeight="1" x14ac:dyDescent="0.25">
      <c r="Y77" s="1"/>
      <c r="Z77" s="1"/>
      <c r="AA77" s="1"/>
      <c r="AB77" s="1"/>
      <c r="AC77" s="1"/>
      <c r="AD77" s="1"/>
      <c r="AE77" s="1"/>
      <c r="AF77" s="19"/>
      <c r="AG77" s="19"/>
      <c r="AH77" s="19"/>
      <c r="AI77" s="19"/>
      <c r="AJ77" s="19"/>
      <c r="AK77" s="19"/>
      <c r="AL77" s="19"/>
    </row>
    <row r="78" spans="1:45" ht="17.25" customHeight="1" x14ac:dyDescent="0.25">
      <c r="Y78" s="19"/>
      <c r="Z78" s="19"/>
      <c r="AA78" s="19"/>
      <c r="AB78" s="19"/>
      <c r="AC78" s="19"/>
      <c r="AD78" s="19"/>
      <c r="AE78" s="19"/>
    </row>
    <row r="79" spans="1:45" ht="17.25" customHeight="1" x14ac:dyDescent="0.25">
      <c r="E79" s="74" t="s">
        <v>40</v>
      </c>
      <c r="F79" s="74"/>
      <c r="G79" s="74"/>
      <c r="H79" s="74"/>
      <c r="I79" s="74"/>
      <c r="J79" s="74"/>
      <c r="L79" s="74" t="s">
        <v>84</v>
      </c>
      <c r="M79" s="74"/>
      <c r="N79" s="74"/>
      <c r="O79" s="74"/>
      <c r="P79" s="74"/>
      <c r="R79" s="74" t="s">
        <v>47</v>
      </c>
      <c r="S79" s="74"/>
      <c r="T79" s="74"/>
      <c r="U79" s="74"/>
      <c r="V79" s="74"/>
      <c r="W79" s="74"/>
      <c r="Y79" s="73" t="s">
        <v>44</v>
      </c>
      <c r="Z79" s="73"/>
      <c r="AA79" s="73"/>
      <c r="AB79" s="73"/>
      <c r="AC79" s="73"/>
      <c r="AD79" s="19"/>
      <c r="AE79" s="74" t="s">
        <v>81</v>
      </c>
      <c r="AF79" s="74"/>
      <c r="AG79" s="74"/>
      <c r="AH79" s="74"/>
      <c r="AI79" s="74"/>
      <c r="AK79" s="73" t="s">
        <v>129</v>
      </c>
      <c r="AL79" s="73"/>
      <c r="AM79" s="73"/>
      <c r="AO79" s="74" t="s">
        <v>132</v>
      </c>
      <c r="AP79" s="74"/>
      <c r="AQ79" s="74"/>
      <c r="AR79" s="74"/>
      <c r="AS79" s="74"/>
    </row>
    <row r="80" spans="1:45" s="9" customFormat="1" ht="30.75" customHeight="1" x14ac:dyDescent="0.25">
      <c r="A80" s="17" t="s">
        <v>49</v>
      </c>
      <c r="B80" s="25" t="s">
        <v>38</v>
      </c>
      <c r="C80" s="28" t="s">
        <v>43</v>
      </c>
      <c r="D80" s="28" t="s">
        <v>65</v>
      </c>
      <c r="E80" s="35" t="s">
        <v>39</v>
      </c>
      <c r="F80" s="35" t="s">
        <v>41</v>
      </c>
      <c r="G80" s="37" t="s">
        <v>67</v>
      </c>
      <c r="H80" s="37" t="s">
        <v>68</v>
      </c>
      <c r="I80" s="17" t="s">
        <v>42</v>
      </c>
      <c r="J80" s="35" t="s">
        <v>48</v>
      </c>
      <c r="L80" s="35" t="s">
        <v>39</v>
      </c>
      <c r="M80" s="39" t="s">
        <v>54</v>
      </c>
      <c r="N80" s="37" t="s">
        <v>7</v>
      </c>
      <c r="O80" s="37" t="s">
        <v>57</v>
      </c>
      <c r="P80" s="35" t="s">
        <v>48</v>
      </c>
      <c r="R80" s="35" t="s">
        <v>39</v>
      </c>
      <c r="S80" s="39" t="s">
        <v>54</v>
      </c>
      <c r="T80" s="37" t="s">
        <v>7</v>
      </c>
      <c r="U80" s="37" t="s">
        <v>57</v>
      </c>
      <c r="V80" s="35" t="s">
        <v>48</v>
      </c>
      <c r="W80" s="37" t="s">
        <v>63</v>
      </c>
      <c r="X80" s="8"/>
      <c r="Y80" s="40" t="s">
        <v>39</v>
      </c>
      <c r="Z80" s="41" t="s">
        <v>54</v>
      </c>
      <c r="AA80" s="41" t="s">
        <v>72</v>
      </c>
      <c r="AB80" s="42" t="s">
        <v>69</v>
      </c>
      <c r="AC80" s="40" t="s">
        <v>76</v>
      </c>
      <c r="AD80" s="21"/>
      <c r="AE80" s="46" t="s">
        <v>49</v>
      </c>
      <c r="AF80" s="40" t="s">
        <v>77</v>
      </c>
      <c r="AG80" s="40" t="s">
        <v>78</v>
      </c>
      <c r="AH80" s="40" t="s">
        <v>79</v>
      </c>
      <c r="AI80" s="48" t="s">
        <v>80</v>
      </c>
      <c r="AK80" s="60" t="s">
        <v>49</v>
      </c>
      <c r="AL80" s="41" t="s">
        <v>117</v>
      </c>
      <c r="AM80" s="40" t="s">
        <v>76</v>
      </c>
      <c r="AO80" s="60" t="s">
        <v>49</v>
      </c>
      <c r="AP80" s="40" t="s">
        <v>78</v>
      </c>
      <c r="AQ80" s="40" t="s">
        <v>133</v>
      </c>
      <c r="AR80" s="40" t="s">
        <v>134</v>
      </c>
      <c r="AS80" s="40" t="s">
        <v>136</v>
      </c>
    </row>
    <row r="81" spans="1:45" s="9" customFormat="1" ht="17.25" customHeight="1" x14ac:dyDescent="0.25">
      <c r="A81" s="17"/>
      <c r="B81" s="25"/>
      <c r="C81" s="28" t="s">
        <v>10</v>
      </c>
      <c r="D81" s="28" t="s">
        <v>10</v>
      </c>
      <c r="E81" s="35"/>
      <c r="F81" s="35"/>
      <c r="G81" s="37" t="s">
        <v>10</v>
      </c>
      <c r="H81" s="37" t="s">
        <v>10</v>
      </c>
      <c r="I81" s="17"/>
      <c r="J81" s="35" t="s">
        <v>12</v>
      </c>
      <c r="L81" s="35"/>
      <c r="M81" s="39" t="s">
        <v>13</v>
      </c>
      <c r="N81" s="37" t="s">
        <v>14</v>
      </c>
      <c r="O81" s="37" t="s">
        <v>11</v>
      </c>
      <c r="P81" s="37" t="s">
        <v>12</v>
      </c>
      <c r="R81" s="35"/>
      <c r="S81" s="39" t="s">
        <v>13</v>
      </c>
      <c r="T81" s="37" t="s">
        <v>14</v>
      </c>
      <c r="U81" s="37" t="s">
        <v>11</v>
      </c>
      <c r="V81" s="37" t="s">
        <v>12</v>
      </c>
      <c r="W81" s="37"/>
      <c r="X81" s="8"/>
      <c r="Y81" s="40"/>
      <c r="Z81" s="41" t="s">
        <v>13</v>
      </c>
      <c r="AA81" s="41" t="s">
        <v>10</v>
      </c>
      <c r="AB81" s="42" t="s">
        <v>70</v>
      </c>
      <c r="AC81" s="42" t="s">
        <v>12</v>
      </c>
      <c r="AD81" s="21"/>
      <c r="AE81" s="46"/>
      <c r="AF81" s="42" t="s">
        <v>12</v>
      </c>
      <c r="AG81" s="42" t="s">
        <v>12</v>
      </c>
      <c r="AH81" s="42"/>
      <c r="AI81" s="48"/>
      <c r="AK81" s="50"/>
      <c r="AL81" s="42" t="s">
        <v>12</v>
      </c>
      <c r="AM81" s="42" t="s">
        <v>12</v>
      </c>
      <c r="AO81" s="50"/>
      <c r="AP81" s="42" t="s">
        <v>12</v>
      </c>
      <c r="AQ81" s="42" t="s">
        <v>12</v>
      </c>
      <c r="AR81" s="42"/>
      <c r="AS81" s="35"/>
    </row>
    <row r="82" spans="1:45" s="9" customFormat="1" ht="17.25" customHeight="1" x14ac:dyDescent="0.25">
      <c r="A82" s="15">
        <v>1</v>
      </c>
      <c r="B82" s="26">
        <v>0.11</v>
      </c>
      <c r="C82" s="29">
        <v>32.5</v>
      </c>
      <c r="D82" s="29">
        <v>23.3</v>
      </c>
      <c r="E82" s="35">
        <f>ROUNDUP(A82*$D$17/$D$22,0)</f>
        <v>2</v>
      </c>
      <c r="F82" s="36">
        <f>$D$17*A82/$D$22/E82</f>
        <v>0.95238095238095233</v>
      </c>
      <c r="G82" s="38">
        <f>IF($D$19="AR","---",IF((D82+$D$55)&gt;($D$25+2),(D82+$D$55),($D$25+2)))</f>
        <v>27.3</v>
      </c>
      <c r="H82" s="38" t="str">
        <f>IF($D$19="AR",IF((C82)&gt;$D$25,(C82),$D$25),"---")</f>
        <v>---</v>
      </c>
      <c r="I82" s="14">
        <v>6.7939999999999996</v>
      </c>
      <c r="J82" s="38">
        <f>+$D$17*A82/I82</f>
        <v>523.55019134530471</v>
      </c>
      <c r="L82" s="35">
        <f>ROUNDUP(A82*$D$29,0)</f>
        <v>2</v>
      </c>
      <c r="M82" s="38">
        <f>IF($D$33*L82*F82&gt;($D$22*0.86/$D$30*$D$23),$D$33*L82*F82,($D$22*0.86/$D$30*$D$23)*1.05)</f>
        <v>437.00285714285718</v>
      </c>
      <c r="N82" s="38">
        <f>(IF($D$33*L82*F82&gt;$D$23,($D$32+($D$34-$D$32)*(M82/$M$82)^2),(($D$32+($D$34-$D$32-$D$31)*($D$33*L82*F82/$M$82)^2)+$D$31*(M82/$M$82)^2)))</f>
        <v>29</v>
      </c>
      <c r="O82" s="38">
        <f>+$D$35</f>
        <v>84.7</v>
      </c>
      <c r="P82" s="38">
        <f>+M82*N82/O82/3.6</f>
        <v>41.561992841213623</v>
      </c>
      <c r="R82" s="35">
        <f>+E82</f>
        <v>2</v>
      </c>
      <c r="S82" s="38">
        <f>IF($D$47="D",$D$42*R82,IF($D$49="S",$D$42*R82,$D$42*R82*(1+($D$39-R82)*$S$86)))</f>
        <v>530.11453129367931</v>
      </c>
      <c r="T82" s="38">
        <f>IF($D$47="D",$D$43,IF($D$49="S",(($D$41*1.25)+($D$43-$D$41*1.25)*(S82/$S$82)^0.5),((($D$41*1.25)+($D$43-$D$41*1.25)*(S82/$S$82)^0.5))))</f>
        <v>17</v>
      </c>
      <c r="U82" s="38">
        <f>+$D$35</f>
        <v>84.7</v>
      </c>
      <c r="V82" s="38">
        <f>+S82*T82/U82/3.6</f>
        <v>29.555119480495037</v>
      </c>
      <c r="W82" s="39" t="str">
        <f>IF(V82/R82&gt;$D$46,"Motor Pequeno","OK")</f>
        <v>OK</v>
      </c>
      <c r="X82" s="11"/>
      <c r="Y82" s="40">
        <f>IF($D$57="S",ROUNDUP(A82*$D$51,0),$D$51)</f>
        <v>2</v>
      </c>
      <c r="Z82" s="43">
        <f>+S82</f>
        <v>530.11453129367931</v>
      </c>
      <c r="AA82" s="43">
        <f>+($D$17*A82+J82)*0.86/Z82+G82</f>
        <v>33.919839595781333</v>
      </c>
      <c r="AB82" s="43">
        <f>+($D$17*A82+J82)/Y82/((AA82-G82)/LN((AA82-D82)/(G82-D82)))</f>
        <v>300.94156602323994</v>
      </c>
      <c r="AC82" s="44">
        <f>IF($D$56="N",$D$54*Y82,$D$54*Y82*(AB82/$D$53)^3)</f>
        <v>16.546758561071687</v>
      </c>
      <c r="AD82" s="22"/>
      <c r="AE82" s="47">
        <v>1</v>
      </c>
      <c r="AF82" s="38">
        <f>+J82</f>
        <v>523.55019134530471</v>
      </c>
      <c r="AG82" s="38">
        <f>+J82+P82+V82+AC82</f>
        <v>611.21406222808503</v>
      </c>
      <c r="AH82" s="45">
        <f>+$D$17*AE82/AG82</f>
        <v>5.8195650588167327</v>
      </c>
      <c r="AI82" s="76">
        <f>+AH82*B82+AH83*B83+AH84*B84+AH85*B85</f>
        <v>7.1662942216510208</v>
      </c>
      <c r="AK82" s="15">
        <v>1</v>
      </c>
      <c r="AL82" s="43">
        <f>+AK82*$H$76</f>
        <v>3556.9999999999995</v>
      </c>
      <c r="AM82" s="43">
        <f>(AL82/$H$76)^2*$I$76</f>
        <v>177.44092786047858</v>
      </c>
      <c r="AO82" s="15">
        <v>1</v>
      </c>
      <c r="AP82" s="38">
        <f>+AG82</f>
        <v>611.21406222808503</v>
      </c>
      <c r="AQ82" s="38">
        <f>+AM82+AP82</f>
        <v>788.65499008856364</v>
      </c>
      <c r="AR82" s="49">
        <f>+$D$17*AO82/AQ82</f>
        <v>4.5102104782226249</v>
      </c>
      <c r="AS82" s="75">
        <f>+AR82*B82+AR83*B83+AR84*B84+AR85*B85</f>
        <v>5.7998345039153634</v>
      </c>
    </row>
    <row r="83" spans="1:45" s="9" customFormat="1" ht="17.25" customHeight="1" x14ac:dyDescent="0.25">
      <c r="A83" s="15">
        <v>0.75</v>
      </c>
      <c r="B83" s="26">
        <v>0.53</v>
      </c>
      <c r="C83" s="29">
        <v>27.3</v>
      </c>
      <c r="D83" s="29">
        <v>19.100000000000001</v>
      </c>
      <c r="E83" s="35">
        <f>ROUNDUP(A83*$D$17/$D$22,0)</f>
        <v>2</v>
      </c>
      <c r="F83" s="36">
        <f>$D$17*A83/$D$22/E83</f>
        <v>0.71428571428571419</v>
      </c>
      <c r="G83" s="38">
        <f t="shared" ref="G83:G84" si="8">IF($D$19="AR","---",IF((D83+$D$55)&gt;($D$25+2),(D83+$D$55),($D$25+2)))</f>
        <v>23.1</v>
      </c>
      <c r="H83" s="38" t="str">
        <f>IF($D$19="AR",IF((C83)&gt;$D$25,(C83),$D$25),"---")</f>
        <v>---</v>
      </c>
      <c r="I83" s="14">
        <v>8.4870000000000001</v>
      </c>
      <c r="J83" s="38">
        <f>+$D$17*A83/I83</f>
        <v>314.333686815129</v>
      </c>
      <c r="L83" s="35">
        <f t="shared" ref="L83:L85" si="9">ROUNDUP(A83*$D$29,0)</f>
        <v>2</v>
      </c>
      <c r="M83" s="38">
        <f t="shared" ref="M83:M85" si="10">IF($D$33*L83*F83&gt;($D$22*0.86/$D$30*$D$23),$D$33*L83*F83,($D$22*0.86/$D$30*$D$23)*1.05)</f>
        <v>327.75214285714287</v>
      </c>
      <c r="N83" s="38">
        <f>(IF($D$33*L83*F83&gt;$D$23,($D$32+($D$34-$D$32)*(M83/$M$82)^2),(($D$32+($D$34-$D$32-$D$31)*($D$33*L83*F83/$M$82)^2)+$D$31*(M83/$M$82)^2)))</f>
        <v>21.125</v>
      </c>
      <c r="O83" s="38">
        <f>+$D$35</f>
        <v>84.7</v>
      </c>
      <c r="P83" s="38">
        <f>+M83*N83/O83/3.6</f>
        <v>22.706821519930287</v>
      </c>
      <c r="R83" s="35">
        <f>+E83</f>
        <v>2</v>
      </c>
      <c r="S83" s="38">
        <f>IF($D$47="D",$D$42*R83,IF($D$49="S",$D$42*R83,$D$42*R83*(1+($D$39-R83)*$S$86)))</f>
        <v>530.11453129367931</v>
      </c>
      <c r="T83" s="38">
        <f>IF($D$47="D",$D$43,IF($D$49="S",(($D$41*1.25)+($D$43-$D$41*1.25)*(S83/$S$82)^0.5),((($D$41*1.25)+($D$43-$D$41*1.25)*(S83/$S$82)^0.5))))</f>
        <v>17</v>
      </c>
      <c r="U83" s="38">
        <f>+$D$35</f>
        <v>84.7</v>
      </c>
      <c r="V83" s="38">
        <f>+S83*T83/U83/3.6</f>
        <v>29.555119480495037</v>
      </c>
      <c r="W83" s="39" t="str">
        <f>IF(V83/R83&gt;$D$46,"Motor Pequeno","OK")</f>
        <v>OK</v>
      </c>
      <c r="X83" s="11"/>
      <c r="Y83" s="40">
        <f>IF($D$57="S",ROUNDUP(A83*$D$51,0),$D$51)</f>
        <v>2</v>
      </c>
      <c r="Z83" s="43">
        <f>+S83</f>
        <v>530.11453129367931</v>
      </c>
      <c r="AA83" s="43">
        <f>+($D$17*A83+J83)*0.86/Z83+G83</f>
        <v>27.937807340241061</v>
      </c>
      <c r="AB83" s="43">
        <f>+($D$17*A83+J83)/Y83/((AA83-G83)/LN((AA83-D83)/(G83-D83)))</f>
        <v>244.32869221002579</v>
      </c>
      <c r="AC83" s="44">
        <f>IF($D$56="N",$D$54*Y83,$D$54*Y83*(AB83/$D$53)^3)</f>
        <v>8.85502540300911</v>
      </c>
      <c r="AD83" s="22"/>
      <c r="AE83" s="47">
        <v>0.75</v>
      </c>
      <c r="AF83" s="38">
        <f>+J83</f>
        <v>314.333686815129</v>
      </c>
      <c r="AG83" s="38">
        <f t="shared" ref="AG83:AG85" si="11">+J83+P83+V83+AC83</f>
        <v>375.45065321856339</v>
      </c>
      <c r="AH83" s="45">
        <f t="shared" ref="AH83:AH85" si="12">+$D$17*AE83/AG83</f>
        <v>7.105461069598956</v>
      </c>
      <c r="AI83" s="76"/>
      <c r="AK83" s="15">
        <v>0.75</v>
      </c>
      <c r="AL83" s="43">
        <f t="shared" ref="AL83:AL85" si="13">+AK83*$H$76</f>
        <v>2667.7499999999995</v>
      </c>
      <c r="AM83" s="43">
        <f t="shared" ref="AM83:AM85" si="14">(AL83/$H$76)^2*$I$76</f>
        <v>99.810521921519197</v>
      </c>
      <c r="AO83" s="15">
        <v>0.75</v>
      </c>
      <c r="AP83" s="38">
        <f t="shared" ref="AP83:AP85" si="15">+AG83</f>
        <v>375.45065321856339</v>
      </c>
      <c r="AQ83" s="38">
        <f t="shared" ref="AQ83:AQ85" si="16">+AM83+AP83</f>
        <v>475.26117514008257</v>
      </c>
      <c r="AR83" s="49">
        <f t="shared" ref="AR83:AR85" si="17">+$D$17*AO83/AQ83</f>
        <v>5.6132293979487899</v>
      </c>
      <c r="AS83" s="75"/>
    </row>
    <row r="84" spans="1:45" s="9" customFormat="1" ht="17.25" customHeight="1" x14ac:dyDescent="0.25">
      <c r="A84" s="15">
        <v>0.5</v>
      </c>
      <c r="B84" s="26">
        <v>0.31</v>
      </c>
      <c r="C84" s="29">
        <v>25.1</v>
      </c>
      <c r="D84" s="29">
        <v>17.5</v>
      </c>
      <c r="E84" s="35">
        <f>ROUNDUP(A84*$D$17/$D$22,0)</f>
        <v>1</v>
      </c>
      <c r="F84" s="36">
        <f>$D$17*A84/$D$22/E84</f>
        <v>0.95238095238095233</v>
      </c>
      <c r="G84" s="38">
        <f t="shared" si="8"/>
        <v>21.5</v>
      </c>
      <c r="H84" s="38" t="str">
        <f>IF($D$19="AR",IF((C84)&gt;$D$25,(C84),$D$25),"---")</f>
        <v>---</v>
      </c>
      <c r="I84" s="14">
        <v>9.3149999999999995</v>
      </c>
      <c r="J84" s="38">
        <f>+$D$17*A84/I84</f>
        <v>190.92860976918948</v>
      </c>
      <c r="L84" s="35">
        <f t="shared" si="9"/>
        <v>1</v>
      </c>
      <c r="M84" s="38">
        <f t="shared" si="10"/>
        <v>218.50142857142859</v>
      </c>
      <c r="N84" s="38">
        <f>(IF($D$33*L84*F84&gt;$D$23,($D$32+($D$34-$D$32)*(M84/$M$82)^2),(($D$32+($D$34-$D$32-$D$31)*($D$33*L84*F84/$M$82)^2)+$D$31*(M84/$M$82)^2)))</f>
        <v>15.5</v>
      </c>
      <c r="O84" s="38">
        <f>+$D$35</f>
        <v>84.7</v>
      </c>
      <c r="P84" s="38">
        <f>+M84*N84/O84/3.6</f>
        <v>11.107084293772605</v>
      </c>
      <c r="R84" s="35">
        <f>+E84</f>
        <v>1</v>
      </c>
      <c r="S84" s="38">
        <f>IF($D$47="D",$D$42*R84,IF($D$49="S",$D$42*R84,$D$42*R84*(1+($D$39-R84)*$S$86)))</f>
        <v>265.05726564683965</v>
      </c>
      <c r="T84" s="38">
        <f>IF($D$47="D",$D$43,IF($D$49="S",(($D$41*1.25)+($D$43-$D$41*1.25)*(S84/$S$82)^0.5),((($D$41*1.25)+($D$43-$D$41*1.25)*(S84/$S$82)^0.5))))</f>
        <v>14.034456159513795</v>
      </c>
      <c r="U84" s="38">
        <f>+$D$35</f>
        <v>84.7</v>
      </c>
      <c r="V84" s="38">
        <f>+S84*T84/U84/3.6</f>
        <v>12.199706724652934</v>
      </c>
      <c r="W84" s="39" t="str">
        <f>IF(V84/R84&gt;$D$46,"Motor Pequeno","OK")</f>
        <v>OK</v>
      </c>
      <c r="X84" s="11"/>
      <c r="Y84" s="40">
        <f>IF($D$57="S",ROUNDUP(A84*$D$51,0),$D$51)</f>
        <v>1</v>
      </c>
      <c r="Z84" s="43">
        <f>+S84</f>
        <v>265.05726564683965</v>
      </c>
      <c r="AA84" s="43">
        <f>+($D$17*A84+J84)*0.86/Z84+G84</f>
        <v>27.889972371699436</v>
      </c>
      <c r="AB84" s="43">
        <f>+($D$17*A84+J84)/Y84/((AA84-G84)/LN((AA84-D84)/(G84-D84)))</f>
        <v>294.19716363709392</v>
      </c>
      <c r="AC84" s="44">
        <f>IF($D$56="N",$D$54*Y84,$D$54*Y84*(AB84/$D$53)^3)</f>
        <v>7.7295079581433175</v>
      </c>
      <c r="AD84" s="22"/>
      <c r="AE84" s="47">
        <v>0.5</v>
      </c>
      <c r="AF84" s="38">
        <f>+J84</f>
        <v>190.92860976918948</v>
      </c>
      <c r="AG84" s="38">
        <f t="shared" si="11"/>
        <v>221.96490874575835</v>
      </c>
      <c r="AH84" s="45">
        <f t="shared" si="12"/>
        <v>8.0125277912154953</v>
      </c>
      <c r="AI84" s="76"/>
      <c r="AK84" s="15">
        <v>0.5</v>
      </c>
      <c r="AL84" s="43">
        <f t="shared" si="13"/>
        <v>1778.4999999999998</v>
      </c>
      <c r="AM84" s="43">
        <f t="shared" si="14"/>
        <v>44.360231965119645</v>
      </c>
      <c r="AO84" s="15">
        <v>0.5</v>
      </c>
      <c r="AP84" s="38">
        <f t="shared" si="15"/>
        <v>221.96490874575835</v>
      </c>
      <c r="AQ84" s="38">
        <f t="shared" si="16"/>
        <v>266.32514071087797</v>
      </c>
      <c r="AR84" s="49">
        <f t="shared" si="17"/>
        <v>6.677927570986383</v>
      </c>
      <c r="AS84" s="75"/>
    </row>
    <row r="85" spans="1:45" s="9" customFormat="1" ht="17.25" customHeight="1" x14ac:dyDescent="0.25">
      <c r="A85" s="15">
        <v>0.25</v>
      </c>
      <c r="B85" s="26">
        <v>0.05</v>
      </c>
      <c r="C85" s="29">
        <v>19</v>
      </c>
      <c r="D85" s="29">
        <v>11</v>
      </c>
      <c r="E85" s="35">
        <f>ROUNDUP(A85*$D$17/$D$22,0)</f>
        <v>1</v>
      </c>
      <c r="F85" s="36">
        <f>$D$17*A85/$D$22/E85</f>
        <v>0.47619047619047616</v>
      </c>
      <c r="G85" s="38">
        <f>IF($D$19="AR","---",IF((D85+$D$55)&gt;($D$25+2),(D85+$D$55),($D$25+2)))</f>
        <v>15</v>
      </c>
      <c r="H85" s="38" t="str">
        <f>IF($D$19="AR",IF((C85)&gt;$D$25,(C85),$D$25),"---")</f>
        <v>---</v>
      </c>
      <c r="I85" s="14">
        <v>6.2709999999999999</v>
      </c>
      <c r="J85" s="38">
        <f>+$D$17*A85/I85</f>
        <v>141.80354010524638</v>
      </c>
      <c r="L85" s="35">
        <f t="shared" si="9"/>
        <v>1</v>
      </c>
      <c r="M85" s="38">
        <f t="shared" si="10"/>
        <v>120.44891250000002</v>
      </c>
      <c r="N85" s="38">
        <f>(IF($D$33*L85*F85&gt;$D$23,($D$32+($D$34-$D$32)*(M85/$M$82)^2),(($D$32+($D$34-$D$32-$D$31)*($D$33*L85*F85/$M$82)^2)+$D$31*(M85/$M$82)^2)))</f>
        <v>12.367444531249999</v>
      </c>
      <c r="O85" s="38">
        <f>+$D$35</f>
        <v>84.7</v>
      </c>
      <c r="P85" s="38">
        <f>+M85*N85/O85/3.6</f>
        <v>4.8853641748430237</v>
      </c>
      <c r="R85" s="35">
        <f>+E85</f>
        <v>1</v>
      </c>
      <c r="S85" s="38">
        <f>IF($D$47="D",$D$42*R85,IF($D$49="S",$D$42*R85,$D$42*R85*(1+($D$39-R85)*$S$86)))</f>
        <v>265.05726564683965</v>
      </c>
      <c r="T85" s="38">
        <f>IF($D$47="D",$D$43,IF($D$49="S",(($D$41*1.25)+($D$43-$D$41*1.25)*(S85/$S$82)^0.5),((($D$41*1.25)+($D$43-$D$41*1.25)*(S85/$S$82)^0.5))))</f>
        <v>14.034456159513795</v>
      </c>
      <c r="U85" s="38">
        <f>+$D$35</f>
        <v>84.7</v>
      </c>
      <c r="V85" s="38">
        <f>+S85*T85/U85/3.6</f>
        <v>12.199706724652934</v>
      </c>
      <c r="W85" s="39" t="str">
        <f>IF(V85/R85&gt;$D$46,"Motor Pequeno","OK")</f>
        <v>OK</v>
      </c>
      <c r="X85" s="11"/>
      <c r="Y85" s="40">
        <f>IF($D$57="S",ROUNDUP(A85*$D$51,0),$D$51)</f>
        <v>1</v>
      </c>
      <c r="Z85" s="43">
        <f>+S85</f>
        <v>265.05726564683965</v>
      </c>
      <c r="AA85" s="43">
        <f>+($D$17*A85+J85)*0.86/Z85+G85</f>
        <v>18.345337628555907</v>
      </c>
      <c r="AB85" s="43">
        <f>+($D$17*A85+J85)/Y85/((AA85-G85)/LN((AA85-D85)/(G85-D85)))</f>
        <v>187.31887126308064</v>
      </c>
      <c r="AC85" s="44">
        <f>IF($D$56="N",$D$54*Y85,$D$54*Y85*(AB85/$D$53)^3)</f>
        <v>1.9951750307832141</v>
      </c>
      <c r="AD85" s="22"/>
      <c r="AE85" s="47">
        <v>0.25</v>
      </c>
      <c r="AF85" s="38">
        <f>+J85</f>
        <v>141.80354010524638</v>
      </c>
      <c r="AG85" s="38">
        <f t="shared" si="11"/>
        <v>160.88378603552556</v>
      </c>
      <c r="AH85" s="45">
        <f t="shared" si="12"/>
        <v>5.527281660338601</v>
      </c>
      <c r="AI85" s="76"/>
      <c r="AK85" s="15">
        <v>0.25</v>
      </c>
      <c r="AL85" s="43">
        <f t="shared" si="13"/>
        <v>889.24999999999989</v>
      </c>
      <c r="AM85" s="43">
        <f t="shared" si="14"/>
        <v>11.090057991279911</v>
      </c>
      <c r="AO85" s="15">
        <v>0.25</v>
      </c>
      <c r="AP85" s="38">
        <f t="shared" si="15"/>
        <v>160.88378603552556</v>
      </c>
      <c r="AQ85" s="38">
        <f t="shared" si="16"/>
        <v>171.97384402680547</v>
      </c>
      <c r="AR85" s="49">
        <f t="shared" si="17"/>
        <v>5.1708444678447325</v>
      </c>
      <c r="AS85" s="75"/>
    </row>
    <row r="86" spans="1:45" s="9" customFormat="1" ht="17.25" customHeight="1" x14ac:dyDescent="0.25">
      <c r="B86" s="4"/>
      <c r="C86" s="4"/>
      <c r="D86" s="4"/>
      <c r="S86" s="9">
        <v>0.25</v>
      </c>
      <c r="Y86" s="23"/>
      <c r="Z86" s="23"/>
      <c r="AA86" s="23"/>
      <c r="AB86" s="23"/>
      <c r="AC86" s="23"/>
      <c r="AD86" s="23"/>
      <c r="AE86" s="23"/>
      <c r="AK86" s="23"/>
      <c r="AL86" s="23"/>
      <c r="AM86" s="23"/>
      <c r="AO86" s="23"/>
    </row>
    <row r="87" spans="1:45" s="9" customFormat="1" x14ac:dyDescent="0.25">
      <c r="B87" s="30" t="s">
        <v>19</v>
      </c>
      <c r="C87" s="30" t="s">
        <v>19</v>
      </c>
      <c r="D87" s="30" t="s">
        <v>19</v>
      </c>
      <c r="E87" s="33" t="s">
        <v>95</v>
      </c>
      <c r="F87" s="33" t="s">
        <v>20</v>
      </c>
      <c r="G87" s="33" t="s">
        <v>20</v>
      </c>
      <c r="H87" s="33" t="s">
        <v>20</v>
      </c>
      <c r="I87" s="9" t="s">
        <v>17</v>
      </c>
      <c r="J87" s="33" t="s">
        <v>20</v>
      </c>
      <c r="L87" s="33" t="s">
        <v>95</v>
      </c>
      <c r="M87" s="33" t="s">
        <v>20</v>
      </c>
      <c r="N87" s="33" t="s">
        <v>95</v>
      </c>
      <c r="O87" s="33" t="s">
        <v>95</v>
      </c>
      <c r="P87" s="33" t="s">
        <v>20</v>
      </c>
      <c r="R87" s="33" t="s">
        <v>95</v>
      </c>
      <c r="S87" s="33" t="s">
        <v>20</v>
      </c>
      <c r="T87" s="33" t="s">
        <v>95</v>
      </c>
      <c r="U87" s="33" t="s">
        <v>95</v>
      </c>
      <c r="V87" s="33" t="s">
        <v>20</v>
      </c>
      <c r="W87" s="33" t="s">
        <v>20</v>
      </c>
      <c r="Y87" s="33" t="s">
        <v>95</v>
      </c>
      <c r="Z87" s="33" t="s">
        <v>20</v>
      </c>
      <c r="AA87" s="33" t="s">
        <v>20</v>
      </c>
      <c r="AB87" s="33" t="s">
        <v>20</v>
      </c>
      <c r="AC87" s="33" t="s">
        <v>20</v>
      </c>
      <c r="AD87" s="23"/>
      <c r="AE87" s="23"/>
      <c r="AF87" s="33" t="s">
        <v>20</v>
      </c>
      <c r="AG87" s="33" t="s">
        <v>20</v>
      </c>
      <c r="AH87" s="33" t="s">
        <v>20</v>
      </c>
      <c r="AI87" s="33" t="s">
        <v>20</v>
      </c>
      <c r="AK87" s="18"/>
      <c r="AL87" s="33" t="s">
        <v>20</v>
      </c>
      <c r="AM87" s="33" t="s">
        <v>20</v>
      </c>
      <c r="AN87" s="1"/>
      <c r="AO87" s="18"/>
      <c r="AP87" s="33" t="s">
        <v>20</v>
      </c>
      <c r="AQ87" s="33" t="s">
        <v>20</v>
      </c>
      <c r="AR87" s="33" t="s">
        <v>20</v>
      </c>
      <c r="AS87" s="33" t="s">
        <v>20</v>
      </c>
    </row>
    <row r="90" spans="1:45" ht="114.75" customHeight="1" x14ac:dyDescent="0.25">
      <c r="E90" s="54" t="s">
        <v>104</v>
      </c>
      <c r="L90" s="54" t="s">
        <v>114</v>
      </c>
      <c r="N90" s="55" t="s">
        <v>113</v>
      </c>
      <c r="O90" s="55" t="s">
        <v>106</v>
      </c>
      <c r="S90" s="54" t="s">
        <v>108</v>
      </c>
      <c r="U90" s="55" t="s">
        <v>111</v>
      </c>
      <c r="V90" s="55" t="s">
        <v>106</v>
      </c>
      <c r="Y90" s="54" t="s">
        <v>112</v>
      </c>
      <c r="Z90" s="1"/>
      <c r="AA90" s="56"/>
      <c r="AB90" s="56"/>
      <c r="AF90" s="57"/>
      <c r="AG90" s="18"/>
      <c r="AH90" s="18"/>
      <c r="AI90" s="18"/>
      <c r="AJ90" s="18"/>
      <c r="AK90" s="18"/>
      <c r="AL90" s="18"/>
    </row>
  </sheetData>
  <mergeCells count="12">
    <mergeCell ref="A1:J2"/>
    <mergeCell ref="A59:A60"/>
    <mergeCell ref="L59:M59"/>
    <mergeCell ref="AK79:AM79"/>
    <mergeCell ref="AO79:AS79"/>
    <mergeCell ref="AS82:AS85"/>
    <mergeCell ref="AI82:AI85"/>
    <mergeCell ref="E79:J79"/>
    <mergeCell ref="L79:P79"/>
    <mergeCell ref="R79:W79"/>
    <mergeCell ref="Y79:AC79"/>
    <mergeCell ref="AE79:AI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Prim-Sec</vt:lpstr>
      <vt:lpstr>Prim-Variavel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Leonilton Tomaz Cleto</dc:creator>
  <cp:lastModifiedBy>user</cp:lastModifiedBy>
  <dcterms:created xsi:type="dcterms:W3CDTF">2015-10-05T15:10:44Z</dcterms:created>
  <dcterms:modified xsi:type="dcterms:W3CDTF">2017-08-24T16:56:51Z</dcterms:modified>
</cp:coreProperties>
</file>